
<file path=[Content_Types].xml><?xml version="1.0" encoding="utf-8"?>
<Types xmlns="http://schemas.openxmlformats.org/package/2006/content-types">
  <Override ContentType="application/vnd.openxmlformats-officedocument.theme+xml" PartName="/xl/theme/theme1.xml"/>
  <Override ContentType="application/vnd.openxmlformats-officedocument.spreadsheetml.styles+xml" PartName="/xl/styles.xml"/>
  <Default ContentType="application/vnd.openxmlformats-package.relationships+xml" Extension="rels"/>
  <Default ContentType="application/xml" Extension="xml"/>
  <Default ContentType="image/png" Extension="png"/>
  <Default ContentType="application/vnd.openxmlformats-officedocument.vmlDrawing" Extension="vml"/>
  <Override ContentType="application/vnd.openxmlformats-officedocument.spreadsheetml.sheet.main+xml" PartName="/xl/workbook.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PartName="/xl/worksheets/sheet1.xml" ContentType="application/vnd.openxmlformats-officedocument.spreadsheetml.worksheet+xml"/>
</Types>
</file>

<file path=_rels/.rels><ns0:Relationships xmlns:ns0="http://schemas.openxmlformats.org/package/2006/relationships">
  <ns0:Relationship Id="rId1" Target="xl/workbook.xml" Type="http://schemas.openxmlformats.org/officeDocument/2006/relationships/officeDocument"/>
  <ns0:Relationship Id="rId2" Target="docProps/core.xml" Type="http://schemas.openxmlformats.org/package/2006/relationships/metadata/core-properties"/>
  <ns0:Relationship Id="rId3" Target="docProps/app.xml" Type="http://schemas.openxmlformats.org/officeDocument/2006/relationships/extended-properties"/>
</ns0:Relationships>

</file>

<file path=xl/workbook.xml><?xml version="1.0" encoding="utf-8"?>
<s:workbook xmlns:s="http://schemas.openxmlformats.org/spreadsheetml/2006/main">
  <s:fileVersion appName="xl" lastEdited="4" lowestEdited="4" rupBuild="4505"/>
  <s:workbookPr defaultThemeVersion="124226" codeName="ThisWorkbook"/>
  <s:bookViews>
    <s:workbookView activeTab="0" autoFilterDateGrouping="1" firstSheet="0" minimized="0" showHorizontalScroll="1" showSheetTabs="1" showVerticalScroll="1" tabRatio="600" visibility="visible"/>
  </s:bookViews>
  <s:sheets>
    <s:sheet xmlns:r="http://schemas.openxmlformats.org/officeDocument/2006/relationships" name="Sheet" sheetId="1" r:id="rId1"/>
  </s:sheets>
  <s:definedNames>
    <s:definedName name="_xlnm._FilterDatabase" localSheetId="0" hidden="1">'Sheet'!$A$4:$P$391</s:definedName>
  </s:definedNames>
  <s:calcPr calcId="124519" calcMode="auto" fullCalcOnLoad="1"/>
</s:workbook>
</file>

<file path=xl/sharedStrings.xml><?xml version="1.0" encoding="utf-8"?>
<sst xmlns="http://schemas.openxmlformats.org/spreadsheetml/2006/main" uniqueCount="2112">
  <si>
    <t xml:space="preserve">	
44330000-2 Будівельні прути, стрижні, дроти та профілі (44334000-0 Профілі (Алюмінієві профілі, полоси, кутники)</t>
  </si>
  <si>
    <t xml:space="preserve"> 34310000-3 Двигуни та їх частини (34311000-0 Двигуни (Електродвигуни)</t>
  </si>
  <si>
    <t xml:space="preserve"> 34320000-6 Механічні запасні частини, крім двигунів і частин двигунів (34322000-0 Гальма та частини гальм (Супорта гальмівні передні) 34321200-5 Коробки передач (Подушка КПП ліва VW) 34321000-3 Осі та коробки передач (Піввісь привода КПП VW) 34324100-5 Обладнання для балансування коліс (Ступиці передні у сбірі Пежо) 34324000-4 Колеса, частини та приладдя до них (Ричаги передні лівий/правий Пежо) 34326100-9 Муфти зчеплення та супутні деталі (Корзина зчеплення VW, циліндр зчеплення головний VW, диск зчеплення VW)</t>
  </si>
  <si>
    <t xml:space="preserve"> 34350000-5 Шини для транспортних засобів великої та малої тоннажності (34351100-3 Автомобільні шини (Шини)</t>
  </si>
  <si>
    <t xml:space="preserve"> 79620000-6 — Послуги із забезпечення персоналом, у тому числі тимчасовим (Послуги з розміщення та просування вакансій Замовника та інші супутні послуги на сайті Виконавця https://robota.ua/)</t>
  </si>
  <si>
    <t xml:space="preserve"> 79620000-6 — Послуги із забезпечення персоналом, у тому числі тимчасовим (Послуги з розміщення та просування вакансій Замовника та інші супутні послуги на сайті Виконавця https://robota.ua/)
</t>
  </si>
  <si>
    <t xml:space="preserve"> прокол під дорогою; копка котловану</t>
  </si>
  <si>
    <t>(19522100-2 Епоксидна смола (Смола ЭД-20)</t>
  </si>
  <si>
    <t>(30232110-8 Лазерні принтери (Принтер Canon, багатофункціональний пристрій)</t>
  </si>
  <si>
    <t>(39224200-0 Щітки (Щітки для очищення косарки 315*45мм-5шт, щітки для замітання -5шт, щітка для вулиці з держаком1200мм-7шт, щітка для миття+палиця-10шт, щітка для миття авто-2шт)</t>
  </si>
  <si>
    <t>(45230000-8 Будівництво трубопроводів, ліній зв’язку та електропередач, шосе, доріг, аеродромів і залізничних доріг; вирівнювання поверхонь (45233222-1 Брукування та асфальтування (послуги з поточного ремонту асфальтобетонного покриття вздовж трамвайної колії та прилеглої території струменевим методом по вул. Нікольська від вул. Потьомкінська до вул. Спортивна у м. Миколаєві)</t>
  </si>
  <si>
    <t>(64212000-5 Послуги мобільного телефонного зв’язку (Послуги мобільного зв’язку 26 абонентських номерів )</t>
  </si>
  <si>
    <t>00034186</t>
  </si>
  <si>
    <t>00124</t>
  </si>
  <si>
    <t>00224</t>
  </si>
  <si>
    <t>00224-АН</t>
  </si>
  <si>
    <t>003a80760db5428883b84ad37a83906b</t>
  </si>
  <si>
    <t>00524</t>
  </si>
  <si>
    <t>007-0181716/01ДЦВ</t>
  </si>
  <si>
    <t>00702245</t>
  </si>
  <si>
    <t>0095a7b762274a9ebebd848480d53c23</t>
  </si>
  <si>
    <t>009f7d13340846088053c7d438025aab</t>
  </si>
  <si>
    <t>02568182</t>
  </si>
  <si>
    <t>02a3392b98e94f0daa576c6fd6a64a22</t>
  </si>
  <si>
    <t>03/01/2024/2</t>
  </si>
  <si>
    <t>03410000-7 Деревина</t>
  </si>
  <si>
    <t>03410000-7 Деревина (03419000-0 Лісоматеріали (Бруски, дошки, рейки)</t>
  </si>
  <si>
    <t>03410000-7 Деревина (Дошка 25*100*6000)</t>
  </si>
  <si>
    <t>03410000-7 Деревина (Дошка суха 50 мм.н/о довжина 3м.ясен)</t>
  </si>
  <si>
    <t>03419000-0 Лісоматеріали</t>
  </si>
  <si>
    <t>03ba894010024b809524fb80ce76fb85</t>
  </si>
  <si>
    <t>043c6ebed9544639b551ddc435f2df86</t>
  </si>
  <si>
    <t>0464a7ac46fd4eb0803ae55b3635439e</t>
  </si>
  <si>
    <t>04725970</t>
  </si>
  <si>
    <t>04767a406877498498771f09218a058a</t>
  </si>
  <si>
    <t>04872263</t>
  </si>
  <si>
    <t>058cfc898b5143dfb7434ccd690e66a1</t>
  </si>
  <si>
    <t>070624/1МТР</t>
  </si>
  <si>
    <t>0778dbeb56874aeca96038084ba2f81e</t>
  </si>
  <si>
    <t>078-24</t>
  </si>
  <si>
    <t>0792-1426-20-2-1-251024</t>
  </si>
  <si>
    <t>07e1fccc8da24c31b9608d4438657118</t>
  </si>
  <si>
    <t>09210000-4 Мастильні засоби</t>
  </si>
  <si>
    <t>09210000-4 Мастильні засоби (09211000-1 Мастильні оливи та мастильні матеріали (мастило)</t>
  </si>
  <si>
    <t>09210000-4 Мастильні засоби (09211000-1 Мастильні оливи та мастильні матеріали (мастило,охолоджуюча рідина, оливи, гальмівна рідина)</t>
  </si>
  <si>
    <t>09211000-1 Мастильні оливи та мастильні матеріали</t>
  </si>
  <si>
    <t>0925b194c15545fdbb21de09c4f58d3b</t>
  </si>
  <si>
    <t>09310000-5 Електрична енергія</t>
  </si>
  <si>
    <t>09310000-5 Електрична енергія (електрична енергія)</t>
  </si>
  <si>
    <t xml:space="preserve">09310000-5 Електрична енергія (електрична енергія) </t>
  </si>
  <si>
    <t>093f23920c4b489a809b2a309b58be4b</t>
  </si>
  <si>
    <t>0aac93f8f161419ca85fdae43bad3b71</t>
  </si>
  <si>
    <t>0af39a2487754f1e9a70bae8348fd436</t>
  </si>
  <si>
    <t>0bc3cb31626042a78c1afcf56eb97665</t>
  </si>
  <si>
    <t>0be5fb5b45c844ddb0b79bd35884e140</t>
  </si>
  <si>
    <t>0cd6b4e8073042eeb3603f77fea88db1</t>
  </si>
  <si>
    <t>0d710709186a405cafd5f7ded1c28c4d</t>
  </si>
  <si>
    <t>0e43cadfdb8f4d93b8c7bd670209327b</t>
  </si>
  <si>
    <t>0e8ce398f45f47a88250b8e7fedc2001</t>
  </si>
  <si>
    <t>0f64da1f7ad944e78b3f7cbf44affcb6</t>
  </si>
  <si>
    <t>1</t>
  </si>
  <si>
    <t>10</t>
  </si>
  <si>
    <t>10/269</t>
  </si>
  <si>
    <t>1000275484</t>
  </si>
  <si>
    <t>1000285005</t>
  </si>
  <si>
    <t>1000337735</t>
  </si>
  <si>
    <t>1000383482</t>
  </si>
  <si>
    <t>103</t>
  </si>
  <si>
    <t>104</t>
  </si>
  <si>
    <t>105</t>
  </si>
  <si>
    <t>108</t>
  </si>
  <si>
    <t>10eee553957f4b7b93b9c2b868aff9aa</t>
  </si>
  <si>
    <t>1131.0000388</t>
  </si>
  <si>
    <t>1131.0000391</t>
  </si>
  <si>
    <t>1151.0328710</t>
  </si>
  <si>
    <t>118</t>
  </si>
  <si>
    <t>119</t>
  </si>
  <si>
    <t>1198c968895f4411928f907d69adaa34</t>
  </si>
  <si>
    <t>120</t>
  </si>
  <si>
    <t>121</t>
  </si>
  <si>
    <t>122</t>
  </si>
  <si>
    <t>123</t>
  </si>
  <si>
    <t>124</t>
  </si>
  <si>
    <t>1248</t>
  </si>
  <si>
    <t>125</t>
  </si>
  <si>
    <t>126</t>
  </si>
  <si>
    <t>127</t>
  </si>
  <si>
    <t>128</t>
  </si>
  <si>
    <t>1289</t>
  </si>
  <si>
    <t>129</t>
  </si>
  <si>
    <t>12b1be05d6244d1198379c347693d5e5</t>
  </si>
  <si>
    <t>12d33112e114434f8ba7780d551a605f</t>
  </si>
  <si>
    <t>12fb422ea2a04ce68a5b89f746c6ad0e</t>
  </si>
  <si>
    <t>13</t>
  </si>
  <si>
    <t>130</t>
  </si>
  <si>
    <t>13022024/1</t>
  </si>
  <si>
    <t>131</t>
  </si>
  <si>
    <t>133</t>
  </si>
  <si>
    <t>134</t>
  </si>
  <si>
    <t>135</t>
  </si>
  <si>
    <t>135ee5022a704985974879206b87868b</t>
  </si>
  <si>
    <t>13845696</t>
  </si>
  <si>
    <t>13851544</t>
  </si>
  <si>
    <t>13852785</t>
  </si>
  <si>
    <t>141</t>
  </si>
  <si>
    <t>142</t>
  </si>
  <si>
    <t xml:space="preserve">14210000-6 Гравій, пісок, щебінь і наповнювачі (14211000-3 Пісок (пісок щільний природний (віяний) </t>
  </si>
  <si>
    <t>14210000-6 Гравій, пісок, щебінь і наповнювачі (14211000-3 Пісок (пісок щільний природний) 14212300-3 Колотий камінь і щебінь (Щебінь з природного каменю фракція 20-40мм)</t>
  </si>
  <si>
    <t>14211000-3 Пісок</t>
  </si>
  <si>
    <t>14211000-3 Пісок;14212300-3 Колотий камінь і щебінь</t>
  </si>
  <si>
    <t>1428</t>
  </si>
  <si>
    <t>143</t>
  </si>
  <si>
    <t>14305453</t>
  </si>
  <si>
    <t>14333937</t>
  </si>
  <si>
    <t>145</t>
  </si>
  <si>
    <t>14620000-3 Сплави (14622000-7 Сталь (Кола сталь)</t>
  </si>
  <si>
    <t>14620000-3 Сплави (14622000-7 Сталь (труби профільні, кутики, круги, арматура, шестигранники, листи, смуга сталева)</t>
  </si>
  <si>
    <t>14622000-7 Сталь</t>
  </si>
  <si>
    <t>147</t>
  </si>
  <si>
    <t>14710000-1 Залізо, свинець, цинк, олово та мідь</t>
  </si>
  <si>
    <t>14710000-1 Залізо, свинець, цинк, олово та мідь (прутки бронзові, листи мідні, листи латунні, шини мідні, труби латунні)</t>
  </si>
  <si>
    <t>14720000-4 Алюміній, нікель, скандій, титан і ванадій (14721000-1-Алюміній (Алюміній АД31 в чушках)</t>
  </si>
  <si>
    <t>14721000-1 Алюміній</t>
  </si>
  <si>
    <t>14721000-1-Алюміній (Алюміній АД31 в чушках)</t>
  </si>
  <si>
    <t>14810000-2 Абразивні вироби</t>
  </si>
  <si>
    <t>14810000-2 Абразивні вироби (14811300-2 Точильні круги (Круги шліфувальні, круги відрізні, круги пелюсткові, круги зачисні, круг алмазний)</t>
  </si>
  <si>
    <t xml:space="preserve">14810000-2 Абразивні вироби (Шліф шкурки, круги) </t>
  </si>
  <si>
    <t>14811300-2 Точильні круги</t>
  </si>
  <si>
    <t>14820000-5 Скло</t>
  </si>
  <si>
    <t>14820000-5 Скло (Скло вітрове трамвая КТМ-5МЗ)</t>
  </si>
  <si>
    <t>14820000-5 Скло (Скло)</t>
  </si>
  <si>
    <t>14830000-8 Скловолокно</t>
  </si>
  <si>
    <t>14830000-8 Скловолокно (Склотканина)</t>
  </si>
  <si>
    <t>149</t>
  </si>
  <si>
    <t>152</t>
  </si>
  <si>
    <t>152454a14d9b49fdb600aac49895039c</t>
  </si>
  <si>
    <t>152ae49aecb040edaec0ce3124a461cc</t>
  </si>
  <si>
    <t>153</t>
  </si>
  <si>
    <t>154</t>
  </si>
  <si>
    <t>155</t>
  </si>
  <si>
    <t>15510000-6 - Молоко та вершки (15511600-9 - Згущене молоко (молоко незбиране згущене с цукром)</t>
  </si>
  <si>
    <t>15510000-6 Молоко та вершки</t>
  </si>
  <si>
    <t>156</t>
  </si>
  <si>
    <t>157</t>
  </si>
  <si>
    <t>157a15bd59b84bf9a5f30c242f762f1e</t>
  </si>
  <si>
    <t>158</t>
  </si>
  <si>
    <t>159</t>
  </si>
  <si>
    <t>159/24/МУ</t>
  </si>
  <si>
    <t>15d7cbba488a467cb6426563e46b54ab</t>
  </si>
  <si>
    <t>16</t>
  </si>
  <si>
    <t>1610/24-Б/533</t>
  </si>
  <si>
    <t>162</t>
  </si>
  <si>
    <t>163</t>
  </si>
  <si>
    <t>164</t>
  </si>
  <si>
    <t>16400836</t>
  </si>
  <si>
    <t>165</t>
  </si>
  <si>
    <t>168</t>
  </si>
  <si>
    <t>168-П/2024</t>
  </si>
  <si>
    <t>169</t>
  </si>
  <si>
    <t>169-П/2024</t>
  </si>
  <si>
    <t>17</t>
  </si>
  <si>
    <t>17-24</t>
  </si>
  <si>
    <t>170</t>
  </si>
  <si>
    <t>1703faca121446dc9622498db9289758</t>
  </si>
  <si>
    <t>170924-02</t>
  </si>
  <si>
    <t>172</t>
  </si>
  <si>
    <t>174</t>
  </si>
  <si>
    <t>175</t>
  </si>
  <si>
    <t>176</t>
  </si>
  <si>
    <t>177</t>
  </si>
  <si>
    <t>179</t>
  </si>
  <si>
    <t>17cb83303c0a48bcafc5b400334d8497</t>
  </si>
  <si>
    <t>18</t>
  </si>
  <si>
    <t>18/03</t>
  </si>
  <si>
    <t>180</t>
  </si>
  <si>
    <t>18140000-2 Аксесуари до робочого одягу 18141000-9 Робочі рукавиці (робочі рукавиці)</t>
  </si>
  <si>
    <t xml:space="preserve">18140000-2 Аксесуари до робочого одягу 18141000-9 Робочі рукавиці (рукавички гумові господарчі, рукавички гумові «Бар’єр»,  рукавички х/б з крапкою великі, рукавиці комбіновані) </t>
  </si>
  <si>
    <t>18140000-2 Аксесуари до робочого одягу 18141000-9 Робочі рукавиці (рукавички гумові господарчі, рукавички х/б з крапкою великі, рукавичкі х/б з крапкою)</t>
  </si>
  <si>
    <t>18141000-9 Робочі рукавиці</t>
  </si>
  <si>
    <t xml:space="preserve">18141000-9 Робочі рукавиці (рукавички гумові господарчі, рукавички гумові «Бар’єр»,  рукавички х/б з крапкою великі, рукавиці комбіновані) </t>
  </si>
  <si>
    <t>18141000-9 Робочі рукавиці (рукавички гумові господарчі, рукавички х/б з крапкою великі, рукавичкі х/б з крапкою)</t>
  </si>
  <si>
    <t>182</t>
  </si>
  <si>
    <t>18230000-0 Верхній одяг різний (18235400-9 Жилети (Жилети)</t>
  </si>
  <si>
    <t>18235400-9 Жилети</t>
  </si>
  <si>
    <t>18235400-9 Жилети (Жилети)</t>
  </si>
  <si>
    <t>18420000-9 Аксесуари для одягу(18424500-2 Рукавиці з крагами (Краги зварювальника)</t>
  </si>
  <si>
    <t>18424500-2 Рукавиці з крагами</t>
  </si>
  <si>
    <t>18424500-2 Рукавиці з крагами (Краги зварювальника)</t>
  </si>
  <si>
    <t>184eb71b2da54ef18498cf2e9362c013</t>
  </si>
  <si>
    <t>18830000-6 Захисне взуття (18832000-0 Спеціальне взуття (Напівчеревики, черевики, чоботи)</t>
  </si>
  <si>
    <t>18830000-6 Захисне взуття (18832000-0 Спеціальне взуття (Черевики робочі утеплені)</t>
  </si>
  <si>
    <t>18832000-0 Спеціальне взуття</t>
  </si>
  <si>
    <t>18832000-0 Спеціальне взуття (Черевики робочі утеплені)</t>
  </si>
  <si>
    <t>189</t>
  </si>
  <si>
    <t>18c26b62d1544f58ae54baba50247bfe</t>
  </si>
  <si>
    <t>18ff6c4375214c56a4aa27e86fd7a28e</t>
  </si>
  <si>
    <t>19</t>
  </si>
  <si>
    <t>19/11/24</t>
  </si>
  <si>
    <t>1905001836</t>
  </si>
  <si>
    <t>19097605</t>
  </si>
  <si>
    <t>191</t>
  </si>
  <si>
    <t>19240000-0 Спеціальні тканини (19243000-1 Оббивальні тканини (Тканина оббивальна в рулонах)</t>
  </si>
  <si>
    <t>19243000-1 Оббивальні тканини</t>
  </si>
  <si>
    <t>19243000-1 Оббивальні тканини (Тканина оббивальна в рулонах)</t>
  </si>
  <si>
    <t>19298255</t>
  </si>
  <si>
    <t>1936302288</t>
  </si>
  <si>
    <t>19420000-6 Штучні текстильні волокна</t>
  </si>
  <si>
    <t>19420000-6 Штучні текстильні волокна (Поролон,вінілісшкіра)</t>
  </si>
  <si>
    <t xml:space="preserve">19420000-6 Штучні текстильні волокна (кожзам на поролоні)  </t>
  </si>
  <si>
    <t>19420000-6 Штучні текстильні волокна (синтепон, поролон, кожзам на поролоні,флізілін)</t>
  </si>
  <si>
    <t>19480600</t>
  </si>
  <si>
    <t>195</t>
  </si>
  <si>
    <t>19510000-4 Гумові вироби</t>
  </si>
  <si>
    <t>19510000-4 Гумові вироби (рукава для газового зварювання та різання металу)</t>
  </si>
  <si>
    <t>19520000-7 Пластмасові вироби (19522100-2 Епоксидна смола (Смола ЭД-20)</t>
  </si>
  <si>
    <t>19520000-7 Пластмасові вироби (19522100-2 Епоксидна смола (Смола поліефірна)</t>
  </si>
  <si>
    <t>19522100-2 Епоксидна смола</t>
  </si>
  <si>
    <t>19522100-2 Епоксидна смола (Смола ЭД-20)</t>
  </si>
  <si>
    <t>19522100-2 Епоксидна смола (Смола поліефірна)</t>
  </si>
  <si>
    <t>196</t>
  </si>
  <si>
    <t>19640000-4 Поліетиленові мішки та пакети для сміття</t>
  </si>
  <si>
    <t>19640000-4 Поліетиленові мішки та пакети для сміття (пакети для сміття)</t>
  </si>
  <si>
    <t xml:space="preserve">19640000-4 Поліетиленові мішки та пакети для сміття (пакети для сміття) </t>
  </si>
  <si>
    <t>197</t>
  </si>
  <si>
    <t>198</t>
  </si>
  <si>
    <t>199</t>
  </si>
  <si>
    <t>1ac8d2cd49a545fc9a2b6917c9c7a313</t>
  </si>
  <si>
    <t>1b6c8907c4894a48b22862c88bc73e5e</t>
  </si>
  <si>
    <t>1bbddd2eee244fd59b03cbe9ddcf02b6</t>
  </si>
  <si>
    <t>1bc69533c2524ebbb39347e9a02f96df</t>
  </si>
  <si>
    <t>1c1a0f01288a42eaa86cf68fddbeacb0</t>
  </si>
  <si>
    <t>1c744691a5434f988a44b8247ce88d93</t>
  </si>
  <si>
    <t>1d484762f87641f4b0e86f96a3f89d26</t>
  </si>
  <si>
    <t>1d89541e7e3d415c80d7ae4632c3af1b</t>
  </si>
  <si>
    <t>1dc8b3a6714842f9bc7f9f8bf6bdf46b</t>
  </si>
  <si>
    <t>1e5ff12f2e0c492182df4de4a29ba48e</t>
  </si>
  <si>
    <t>1e6ecd4611564c11910d0690968688fa</t>
  </si>
  <si>
    <t>1ecf0fefa6f4410a878fa890107eba87</t>
  </si>
  <si>
    <t>2</t>
  </si>
  <si>
    <t>20-24</t>
  </si>
  <si>
    <t>200</t>
  </si>
  <si>
    <t>20078659</t>
  </si>
  <si>
    <t>201</t>
  </si>
  <si>
    <t>201-В659/24</t>
  </si>
  <si>
    <t>202</t>
  </si>
  <si>
    <t>20218221</t>
  </si>
  <si>
    <t>2024-19-09/496</t>
  </si>
  <si>
    <t>20344871</t>
  </si>
  <si>
    <t>205834061</t>
  </si>
  <si>
    <t>20836479</t>
  </si>
  <si>
    <t>20875278</t>
  </si>
  <si>
    <t>2098990c210943098d61bc80308947bc</t>
  </si>
  <si>
    <t>21/2</t>
  </si>
  <si>
    <t>2105202051</t>
  </si>
  <si>
    <t>21126901cc544ee5aab8c55728ef1730</t>
  </si>
  <si>
    <t>214</t>
  </si>
  <si>
    <t>21543199</t>
  </si>
  <si>
    <t>21560045</t>
  </si>
  <si>
    <t>21560766</t>
  </si>
  <si>
    <t>21581627</t>
  </si>
  <si>
    <t>21673832</t>
  </si>
  <si>
    <t>21864584</t>
  </si>
  <si>
    <t>21870998</t>
  </si>
  <si>
    <t>21f8434b2db44f3a880fd3e754b922e5</t>
  </si>
  <si>
    <t>22</t>
  </si>
  <si>
    <t>22410000-7 Марки</t>
  </si>
  <si>
    <t>22410000-7 Марки (Знаки поштової оплати)</t>
  </si>
  <si>
    <t>22426550</t>
  </si>
  <si>
    <t>22450000-9 Друкована продукція з елементами захисту (22459000-2 Квитки (разові квитки для проїзду у трамваї та тролейбусі)</t>
  </si>
  <si>
    <t>22459000-2 Квитки</t>
  </si>
  <si>
    <t>2261506715</t>
  </si>
  <si>
    <t>227/24/МУ</t>
  </si>
  <si>
    <t>22810000-1 - Паперові чи картонні реєстраційні журнали (журнали щозмінного перед рейсового та після рейсового медичного огляду водії)</t>
  </si>
  <si>
    <t>22810000-1 - Паперові чи картонні реєстраційні журнали (залікова книжка)</t>
  </si>
  <si>
    <t xml:space="preserve">22810000-1 - Паперові чи картонні реєстраційні журнали (книги обліку, книжки водія) </t>
  </si>
  <si>
    <t>22810000-1 Паперові чи картонні реєстраційні журнали</t>
  </si>
  <si>
    <t>22810000-1 Паперові чи картонні реєстраційні журнали (Журнали проведення денного ТО тролейбусів, журнали проведення ЩО тролейбусів)</t>
  </si>
  <si>
    <t>22810000-1 Паперові чи картонні реєстраційні журнали (Книги обліку,журнали,касові книги)</t>
  </si>
  <si>
    <t>22810000-1 Паперові чи картонні реєстраційні журнали (книга канцелярська, стікери, папір для нотаток)</t>
  </si>
  <si>
    <t>22820000-4 Бланки</t>
  </si>
  <si>
    <t>22820000-4 Бланки (Особові картки перацівників)</t>
  </si>
  <si>
    <t>22820000-4 Бланки (Свідоцтво про присвоєння РК, додаток до СРК)</t>
  </si>
  <si>
    <t>22820000-4 Бланки (квитково-облікові листи, контрольні довідки про прийом грошей, відомості обліку, накладні, контрольні листи роботи контролерів, картки обліку, звіти, посвідчення, відомості виконання, табелі робочого часу, подорожні листи, авансові звіти, прибуткові касові ордери, видаткові касові ордери, інвентиразійні описи)</t>
  </si>
  <si>
    <t>22820000-4 Бланки (посвідчення)</t>
  </si>
  <si>
    <t>22830000-7 Зошити</t>
  </si>
  <si>
    <t>22830000-7 Зошити (зошити)</t>
  </si>
  <si>
    <t>22850000-3 Швидкозшивачі та супутнє приладдя (реєстратор односторонній)(22851000-0 Швидкозшивачі (Швидкозшивач, папка швидкозшивач, папка зі швидкозшивачем, реєстратор, папка на зав’язках)</t>
  </si>
  <si>
    <t>22851000-0 Швидкозшивачі</t>
  </si>
  <si>
    <t>22859846</t>
  </si>
  <si>
    <t>22868348</t>
  </si>
  <si>
    <t>2287a2f16d8e4a818f8abe6556c65e07</t>
  </si>
  <si>
    <t>229d8804fc1e4b168643a1a125db26e6</t>
  </si>
  <si>
    <t>23</t>
  </si>
  <si>
    <t>231b9d2e17934cb0bc9b87c2f68b3257</t>
  </si>
  <si>
    <t>23399393</t>
  </si>
  <si>
    <t>2351100-9 Відеомонтажне обладнання  (кронштейн для відеокамери)</t>
  </si>
  <si>
    <t>2366d27cb85548efb7a268aae46fae19</t>
  </si>
  <si>
    <t>23856614</t>
  </si>
  <si>
    <t>23c41c3282324c47ac827cad2b3a46e5</t>
  </si>
  <si>
    <t>23f62ad49ca44d299b7af73901fcf61e</t>
  </si>
  <si>
    <t>24</t>
  </si>
  <si>
    <t>24/1</t>
  </si>
  <si>
    <t>24110000-8 Промислові гази (24112100-3 Діоксид вуглецю (Діоксид вуглецю) (24111900-4 Кисень (Кисень газоподібний ) (24111100-6 Аргон (Аргон)</t>
  </si>
  <si>
    <t>24112100-3 Діоксид вуглецю;24111900-4 Кисень;24111100-6 Аргон</t>
  </si>
  <si>
    <t>24185151</t>
  </si>
  <si>
    <t>24310000-0 Основні неорганічні хімічні речовини</t>
  </si>
  <si>
    <t xml:space="preserve">24310000-0 Основні неорганічні хімічні речовини (Сода кальцінована) </t>
  </si>
  <si>
    <t>24320000-3 Основні органічні хімічні речовини (24321115-9 Ацетилен (Ацетилен ДСТУ 5457-75)</t>
  </si>
  <si>
    <t>24321115-9 Ацетилен</t>
  </si>
  <si>
    <t>24321115-9 Ацетилен (Ацетилен ДСТУ 5457-75)</t>
  </si>
  <si>
    <t>24510000-2 Етиленові полімери у первинній формі</t>
  </si>
  <si>
    <t>24510000-2 Етиленові полімери у первинній формі (Стрижень фторопластовий 20,0 мм.)</t>
  </si>
  <si>
    <t>2457604660</t>
  </si>
  <si>
    <t>2465501705</t>
  </si>
  <si>
    <t>247</t>
  </si>
  <si>
    <t>2471313049</t>
  </si>
  <si>
    <t>24786689</t>
  </si>
  <si>
    <t>24790030</t>
  </si>
  <si>
    <t>24796009</t>
  </si>
  <si>
    <t>248</t>
  </si>
  <si>
    <t>2486508973</t>
  </si>
  <si>
    <t>249</t>
  </si>
  <si>
    <t>24960000-1 Хімічна продукція різна (24963000-2 Антикорозійні засоби (Очищувач електроконтактів)</t>
  </si>
  <si>
    <t>24963000-2 Антикорозійні засоби</t>
  </si>
  <si>
    <t>24963000-2 Антикорозійні засоби (Очищувач електроконтактів)</t>
  </si>
  <si>
    <t>250</t>
  </si>
  <si>
    <t>2504</t>
  </si>
  <si>
    <t>2509797767494f3da2b50e873affddef</t>
  </si>
  <si>
    <t>251</t>
  </si>
  <si>
    <t>2513016651</t>
  </si>
  <si>
    <t>252</t>
  </si>
  <si>
    <t>2521201471</t>
  </si>
  <si>
    <t>253</t>
  </si>
  <si>
    <t>253001698</t>
  </si>
  <si>
    <t>253dde38bf1e46f3b8fe512165ca1223</t>
  </si>
  <si>
    <t>2548301586</t>
  </si>
  <si>
    <t>256</t>
  </si>
  <si>
    <t>2563001698</t>
  </si>
  <si>
    <t>257</t>
  </si>
  <si>
    <t>2586700212</t>
  </si>
  <si>
    <t>261</t>
  </si>
  <si>
    <t>262</t>
  </si>
  <si>
    <t>26233167</t>
  </si>
  <si>
    <t>263</t>
  </si>
  <si>
    <t>2635608017</t>
  </si>
  <si>
    <t>264</t>
  </si>
  <si>
    <t>265</t>
  </si>
  <si>
    <t>2655201824</t>
  </si>
  <si>
    <t>2655809665</t>
  </si>
  <si>
    <t>2656914024</t>
  </si>
  <si>
    <t>266</t>
  </si>
  <si>
    <t>2666820800</t>
  </si>
  <si>
    <t>2668abc10dce4b82817e1fd6ecbe5ad1</t>
  </si>
  <si>
    <t>267</t>
  </si>
  <si>
    <t>2705/34/04-2024</t>
  </si>
  <si>
    <t>271</t>
  </si>
  <si>
    <t>2711213410</t>
  </si>
  <si>
    <t>274d4868549a42b9b80134a76e37a04a</t>
  </si>
  <si>
    <t>28/24/МУ</t>
  </si>
  <si>
    <t>280</t>
  </si>
  <si>
    <t>280824-25</t>
  </si>
  <si>
    <t>281</t>
  </si>
  <si>
    <t>284</t>
  </si>
  <si>
    <t>286</t>
  </si>
  <si>
    <t>288</t>
  </si>
  <si>
    <t>2888603030</t>
  </si>
  <si>
    <t>2892316887</t>
  </si>
  <si>
    <t>29/24/МУ</t>
  </si>
  <si>
    <t>290</t>
  </si>
  <si>
    <t>291</t>
  </si>
  <si>
    <t>2914617489</t>
  </si>
  <si>
    <t>292</t>
  </si>
  <si>
    <t>293</t>
  </si>
  <si>
    <t>2934912154</t>
  </si>
  <si>
    <t>294</t>
  </si>
  <si>
    <t>2944601289</t>
  </si>
  <si>
    <t>2951914372</t>
  </si>
  <si>
    <t>295378928108</t>
  </si>
  <si>
    <t>296</t>
  </si>
  <si>
    <t>2963519220</t>
  </si>
  <si>
    <t>2970400325</t>
  </si>
  <si>
    <t>2975702184</t>
  </si>
  <si>
    <t>2989600936</t>
  </si>
  <si>
    <t>299ec320c2574a4cb7dc3e02facceab1</t>
  </si>
  <si>
    <t>29c6b5732d8b45e5b5bb483355156580</t>
  </si>
  <si>
    <t>2a02283349c1408389aeb47929358329</t>
  </si>
  <si>
    <t>2a6e945eb3b449e4923196e48d0d93e1</t>
  </si>
  <si>
    <t>2afb701d5cfc4ab99451465481438a57</t>
  </si>
  <si>
    <t>2b2f638e420048eda9c74fe385514004</t>
  </si>
  <si>
    <t>2c5b50264a87456fab71375d0deb5829</t>
  </si>
  <si>
    <t>2dc13da0ae0a4776a255528ed2e09d8a</t>
  </si>
  <si>
    <t>2e007aa6f79e4a84802b2dfcb25c09bb</t>
  </si>
  <si>
    <t>2e2d6d5d21de46558fc8c07815f370f1</t>
  </si>
  <si>
    <t>2e3a56e299c54653a4924857c239f7ef</t>
  </si>
  <si>
    <t>2e4934c304154b9c842c7b01e0b4ecaa</t>
  </si>
  <si>
    <t>2fb4933d4b474475ae979f4a492488bc</t>
  </si>
  <si>
    <t>30008125394</t>
  </si>
  <si>
    <t>300124-120</t>
  </si>
  <si>
    <t>3008125394</t>
  </si>
  <si>
    <t>301</t>
  </si>
  <si>
    <t>30126040</t>
  </si>
  <si>
    <t>30140000-2 - Лічильна та обчислювальна техніка (30141000-9 - Лічильні машини (лічильник монет Cassida Coinmax)</t>
  </si>
  <si>
    <t>30140000-2 Лічильна та обчислювальна техніка (30141000-9 Лічильні машини (Лічільник монет Cassida Coinmax)</t>
  </si>
  <si>
    <t>30141000-9 Лічильні машини</t>
  </si>
  <si>
    <t>30141000-9 Лічильні машини (Лічільник монет Cassida Coinmax)</t>
  </si>
  <si>
    <t>30190000-7 Офісне устаткування та приладдя різне</t>
  </si>
  <si>
    <t>30190000-7 Офісне устаткування та приладдя різне (30197630-1 Папір для друку (папір офісний, папір СПФ, газетний папір А4)</t>
  </si>
  <si>
    <t>30190000-7 Офісне устаткування та приладдя різне (30199230-1 Конверти (Конверти)</t>
  </si>
  <si>
    <t>30190000-7 Офісне устаткування та приладдя різне (коректор, скріпки, біндер, ніж канцелярський, леза для канцелярських ножів ,фарба штемпельна, маркери, степлер, гумка, олівці, стрижні,лоток, фотопапір, точилка, ручки, стрічка клейка, грифелі,стрічка фарбуюча, стрічка корегуюча</t>
  </si>
  <si>
    <t>30190000-7 Офісне устаткування та приладдя різне (коректор, скріпки, біндер, ніж канцелярський, леза для канцелярських ножів ,фарба штемпельна, маркери, степлер, гумка, стержн ідля олівців, лоток, підставка настільна, скотч, стержні для ручок, фотопапір, точилка, антистеплер, ручки, стрічка фарбуюча)</t>
  </si>
  <si>
    <t>30197630-1 Папір для друку</t>
  </si>
  <si>
    <t>30197630-1 Папір для друку (папір офісний, папір СПФ, газетний папір А4)</t>
  </si>
  <si>
    <t>30199230-1 Конверти</t>
  </si>
  <si>
    <t>30199230-1 Конверти (Конверти)</t>
  </si>
  <si>
    <t>301a208f0a1f4634801a0143fab1d1d1</t>
  </si>
  <si>
    <t>302</t>
  </si>
  <si>
    <t>3020114404</t>
  </si>
  <si>
    <t xml:space="preserve">30210000-4 Машини для обробки даних (Моноблоки)
</t>
  </si>
  <si>
    <t>30210000-4 Машини для обробки даних (апаратна частина)</t>
  </si>
  <si>
    <t>30230000-0 Комп’ютерне обладнання</t>
  </si>
  <si>
    <t>30230000-0 Комп’ютерне обладнання (30231000-7 Екрани комп’ютерних моніторів та консолі (Монітори)</t>
  </si>
  <si>
    <t>30230000-0 Комп’ютерне обладнання (30232110-8 Лазерні принтери (Принтер Canon, багатофункціональний пристрій)</t>
  </si>
  <si>
    <t>30230000-0 Комп’ютерне обладнання (30234000-8 Носії інформації (Жорсткий диск 3,5"8ТВ Seagate ST8000VE001)</t>
  </si>
  <si>
    <t>30230000-0 Комп’ютерне обладнання (30234000-8 Носії інформації (Карта пам'яті Transcend SD 8GB C10 R20MB/s)</t>
  </si>
  <si>
    <t>30231000-7 Екрани комп’ютерних моніторів та консолі</t>
  </si>
  <si>
    <t>30231000-7 Екрани комп’ютерних моніторів та консолі (Монітори)</t>
  </si>
  <si>
    <t>30232110-8 Лазерні принтери</t>
  </si>
  <si>
    <t>30234000-8 Носії інформації</t>
  </si>
  <si>
    <t>30234000-8 Носії інформації (Карта пам'яті Transcend SD 8GB C10 R20MB/s)</t>
  </si>
  <si>
    <t>304</t>
  </si>
  <si>
    <t>3047714294</t>
  </si>
  <si>
    <t>305</t>
  </si>
  <si>
    <t>307</t>
  </si>
  <si>
    <t>3072218395</t>
  </si>
  <si>
    <t>308</t>
  </si>
  <si>
    <t>30893146</t>
  </si>
  <si>
    <t>309</t>
  </si>
  <si>
    <t>3095108600</t>
  </si>
  <si>
    <t>31</t>
  </si>
  <si>
    <t>310</t>
  </si>
  <si>
    <t>31120000-3 Генератори (31121110-4 Перетворювачі електричної енергії (Бортовий перетворювач SDMC-103-600/28-5)</t>
  </si>
  <si>
    <t>31121110-4 Перетворювачі електричної енергії</t>
  </si>
  <si>
    <t>31150000-2 Баласти для розрядних ламп чи трубок</t>
  </si>
  <si>
    <t>31150000-2 Баласти для розрядних ламп чи трубок (31155000-7 - Інвертори (інвертори напруги)</t>
  </si>
  <si>
    <t xml:space="preserve">31150000-2 Баласти для розрядних ламп чи трубок (31155000-7 Інвертори (зарядний пристрій (інвертор) </t>
  </si>
  <si>
    <t>31155567</t>
  </si>
  <si>
    <t>31170000-8 Трансформатори</t>
  </si>
  <si>
    <t>31170000-8 Трансформатори ( 31172000-2 Трансформатори напруги (Трансформатор ТСЗІ-2,5(380/220В)</t>
  </si>
  <si>
    <t>31170000-8 Трансформатори (Трансформатор ТМГ)</t>
  </si>
  <si>
    <t>31172000-2 Трансформатори напруги</t>
  </si>
  <si>
    <t>31172000-2 Трансформатори напруги (Трансформатор ТСЗІ-2,5(380/220В)</t>
  </si>
  <si>
    <t xml:space="preserve">31210000-1 Електрична апаратура для комутування та захисту електричних кіл (31211310-4 Автоматичні вимикачі (Вимикачі автоматичні) 31214000-9 Розподільні пристрої (Контактори, реле,контакти) 31214100-0 Перемикачі (Перемикачі) 31211100-9 Комутаційні апарати (Пристрої комутаційні, кулачкові елементи, грозорозрядники) </t>
  </si>
  <si>
    <t>31210000-1 Електрична апаратура для комутування та захисту електричних кіл (31211310-4 Автоматичні вимикачі (Вимикачі) 31219000-4 Захисні коробки (Коробки під автомати, корпуси пластикові, коробки розподільчі) 31213300-5 Кабельні бокси (Гофротруби) 31211200-0 Шафи з плавкими запобіжниками (Ящики) 31211300-1 Плавкі запобіжники (Запобіжники) 31215000-6 Обмежувачі напруги (Обмежувачі перенапруги) 31214000-9 Розподільні пристрої (Пускачі)</t>
  </si>
  <si>
    <t>31210000-1 Електрична апаратура для комутування та захисту електричних кіл (31212200-7 - Тестери для перевірки цілісності електричних схем (ПКІ пристрій безперервного контролю опору ізоляції тролейбуса при русі)</t>
  </si>
  <si>
    <t>31210000-1 Електрична апаратура для комутування та захисту електричних кіл (31213300-5 Кабельні бокси (Кабель канали, труби гофровані) 31219000-4 Захисні коробки (Коробки розподільчі, бокси під автомати) 31211310-4 Автоматичні вимикачі (Вимикачі)</t>
  </si>
  <si>
    <t xml:space="preserve">31210000-1 Електрична апаратура для комутування та захисту електричних кіл 31215000-6 Обмежувачі напруги (обмежувач перенапруги) (31211310-4 Автоматичні вимикачі (автоматичні вимикачі, вимикач навантаження) </t>
  </si>
  <si>
    <t>31211310-4 Автоматичні вимикачі;31214000-9 Розподільні пристрої;31211100-9 Комутаційні апарати;31214100-0 Перемикачі</t>
  </si>
  <si>
    <t>31211310-4 Автоматичні вимикачі;31215000-6 Обмежувачі напруги</t>
  </si>
  <si>
    <t>31211310-4 Автоматичні вимикачі;31219000-4 Захисні коробки;31213300-5 Кабельні бокси;31211200-0 Шафи з плавкими запобіжниками;31211300-1 Плавкі запобіжники;31215000-6 Обмежувачі напруги;31214000-9 Розподільні пристрої</t>
  </si>
  <si>
    <t>31212200-7 Тестери для перевірки цілісності електричних схем</t>
  </si>
  <si>
    <t>31213300-5 Кабельні бокси;31219000-4 Захисні коробки;31211310-4 Автоматичні вимикачі</t>
  </si>
  <si>
    <t>31220000-4 Елементи електричних схем</t>
  </si>
  <si>
    <t>31220000-4 Елементи електричних схем (31221600-7 Реле часу (реле)</t>
  </si>
  <si>
    <t>31220000-4 Елементи електричних схем (31224100-3 Вилки та розетки (Вилки кабельні СС-11, розетки кабельні СС-11)</t>
  </si>
  <si>
    <t>31220000-4 Елементи електричних схем (Розетки,касети)</t>
  </si>
  <si>
    <t>31220000-4 Елементи електричних схем (реле)</t>
  </si>
  <si>
    <t>31221600-7 Реле часу</t>
  </si>
  <si>
    <t>31221600-7 Реле часу (реле)</t>
  </si>
  <si>
    <t>31224100-3 Вилки та розетки</t>
  </si>
  <si>
    <t>31224100-3 Вилки та розетки (Вилки кабельні СС-11, розетки кабельні СС-11)</t>
  </si>
  <si>
    <t>31230000-7 Частини електророзподільної чи контрольної апаратури</t>
  </si>
  <si>
    <t>31230000-7 Частини електророзподільної чи контрольної апаратури (перевідні механізми, підвіси ковзаючи, підвіски парні, клини вхідні, клини вихідні, тримачі криві, затискачі, клеми вхідні, ізолятори, вузли підвіски поздовжньо-несучого тросу, тролейбусні стрілки, шини, стрілочні хрестовини, габаритні планки, затискачі 2-х гвинтові, вузли кріплення кронштейна, підвіси двох плечові, перетини, хомути, фіксатори, муфти, еластичні елементи, кронштейн-стійка, роз’єднувачі, вузли підвішування, опорні планки, котушки, кронштейни тролейбусні, уловлювачі тролейбусних штанг)</t>
  </si>
  <si>
    <t>3128202596</t>
  </si>
  <si>
    <t>313</t>
  </si>
  <si>
    <t xml:space="preserve">31340000-1 Приладдя до ізольованих кабелів (31343000-2 Муфти для ізольованих кабелів (З’єднувальні муфти) </t>
  </si>
  <si>
    <t>31340000-1 Приладдя до ізольованих кабелів (31343000-2 Муфти для ізольованих кабелів (З’єднувальні та кінцеві муфти)</t>
  </si>
  <si>
    <t>31343000-2 Муфти для ізольованих кабелів</t>
  </si>
  <si>
    <t>31357272</t>
  </si>
  <si>
    <t>3136282c9a58451e9244ea012d345892</t>
  </si>
  <si>
    <t>314</t>
  </si>
  <si>
    <t>31410000-3 Гальванічні елементи</t>
  </si>
  <si>
    <t xml:space="preserve">31410000-3 Гальванічні елементи (батарейки) </t>
  </si>
  <si>
    <t>31430000-9 Електричні акумулятори (31431000-6 Свинцево-кислотні акумуляторні батареї (Акумулятори)</t>
  </si>
  <si>
    <t xml:space="preserve">31430000-9 Електричні акумулятори (31431000-6 Свинцево-кислотні акумуляторні батареї (Акумулятори) </t>
  </si>
  <si>
    <t>31431000-6 Свинцево-кислотні акумуляторні батареї</t>
  </si>
  <si>
    <t>31440000-2 Акумуляторні батареї</t>
  </si>
  <si>
    <t>31440000-2 Акумуляторні батареї (Акумуляторна батарея Merlion GL121200M8) (або еквівалент)</t>
  </si>
  <si>
    <t>3144704260</t>
  </si>
  <si>
    <t>31448144</t>
  </si>
  <si>
    <t>3145012645</t>
  </si>
  <si>
    <t>315</t>
  </si>
  <si>
    <t>31510000-4 - Електричні лампи розжарення (31518100-1 - Прожектори заливального світла (LED прожектора)</t>
  </si>
  <si>
    <t>31510000-4 - Електричні лампи розжарення (31518100-1 - Прожектори заливального світла (Прожекторі світлодіодні)</t>
  </si>
  <si>
    <t>31518100-1 - Прожектори заливального світла (LED прожектора)</t>
  </si>
  <si>
    <t>31518100-1 - Прожектори заливального світла (Прожекторі світлодіодні)</t>
  </si>
  <si>
    <t>31518100-1 Прожектори заливального світла</t>
  </si>
  <si>
    <t>31520000-7 Світильники та освітлювальна арматура(31521000-4 - Світильники(Світильники)</t>
  </si>
  <si>
    <t>31521000-4 - Світильники(Світильники)</t>
  </si>
  <si>
    <t>31521000-4 Світильники</t>
  </si>
  <si>
    <t>31530000-0 - Частини до світильників та освітлювального обладнання (31532000-4 - Частини до світильників та освітлювальної арматури (фари)</t>
  </si>
  <si>
    <t xml:space="preserve">31530000-0 Частини до світильників та освітлювального обладнання  (31531000-7 Лампи (Лампи) </t>
  </si>
  <si>
    <t>31531000-7 Лампи</t>
  </si>
  <si>
    <t>31532000-4 Частини до світильників та освітлювальної арматури</t>
  </si>
  <si>
    <t>316</t>
  </si>
  <si>
    <t>3162525400</t>
  </si>
  <si>
    <t>31650000-7 Ізоляційне приладдя</t>
  </si>
  <si>
    <t xml:space="preserve">31650000-7 Ізоляційне приладдя (Слюдопласт вологостійкий, стрічка кіперна, стрічка скляна, стрічка ізоляційна, стрічка смоляна) </t>
  </si>
  <si>
    <t>31650000-7 Ізоляційне приладдя (Сінтофлекс,склоплівкослюдопласт,затверджувач, трубки ТЛБ, стрижні текстолітові круглі, прутки поліамідні, стрічки, шнур скляний)</t>
  </si>
  <si>
    <t>31660000-0 Вугільні електроди</t>
  </si>
  <si>
    <t xml:space="preserve">31660000-0 Вугільні електроди (Вугільні вставки) </t>
  </si>
  <si>
    <t>31680000-6 Електричне приладдя та супутні товари до електричного обладнання</t>
  </si>
  <si>
    <t>31680000-6 Електричне приладдя та супутні товари до електричного обладнання (тен сухий)</t>
  </si>
  <si>
    <t>31680000-6 Електричне приладдя та супутні товари до електричного обладнання (тен-блок 15 кВт)</t>
  </si>
  <si>
    <t>317</t>
  </si>
  <si>
    <t>31710000-6 Електронне обладнання</t>
  </si>
  <si>
    <t>31710000-6 Електронне обладнання (31711150-9 Електричні конденсатори (Конденсатори)</t>
  </si>
  <si>
    <t>31710000-6 Електронне обладнання (Драйвери), 31712350-8 Транзистори(Транзистори), 31711150-9 Електричні конденсатори (Конденсатори)</t>
  </si>
  <si>
    <t>31710000-6 Електронне обладнання (Плата DRV-06)</t>
  </si>
  <si>
    <t>31710000-6 Електронне обладнання (Транзисторна 3-х фазна  збірка CRV364M4K, драйвер IR2132), 31712335-7 Оптопари (Оптопара з операційним підсилювачем НР7800)</t>
  </si>
  <si>
    <t>31710000-6 Електронне обладнання;31712335-7 Оптопари</t>
  </si>
  <si>
    <t>31711150-9 Електричні конденсатори</t>
  </si>
  <si>
    <t>31712350-8 Транзистори;31710000-6 Електронне обладнання;31711150-9 Електричні конденсатори</t>
  </si>
  <si>
    <t>31730000-2 Електротехнічне обладнання (31731000-9 Електротехнічне приладдя (Ізолятори пантографа, плати, мотори редуктора, вентилятори трамваю, котушки гальм, щіткотримачі, кронштейни щіткотримача)</t>
  </si>
  <si>
    <t>31730000-2 Електротехнічне обладнання (31731000-9 Електротехнічне приладдя (Головки струмоприймача, ремкомплекти, п’яти головки струмоприймача, каретки, скользуни, щоки, утримувачі, вставки контактні, вкладиші, щічки, втулки, пряжки)</t>
  </si>
  <si>
    <t>31731000-9 Електротехнічне приладдя</t>
  </si>
  <si>
    <t>318</t>
  </si>
  <si>
    <t>319</t>
  </si>
  <si>
    <t>32</t>
  </si>
  <si>
    <t>320</t>
  </si>
  <si>
    <t>32092696</t>
  </si>
  <si>
    <t>321</t>
  </si>
  <si>
    <t>32230000-4 Апаратура для передавання радіосигналу з приймальним пристроєм (Реєстратор) (32234000-2 Камери відеоспостереження (Камери)</t>
  </si>
  <si>
    <t>32234000-2 Камери відеоспостереження;32230000-4 Апаратура для передавання радіосигналу з приймальним пристроєм</t>
  </si>
  <si>
    <t>3231505412</t>
  </si>
  <si>
    <t>3233314453</t>
  </si>
  <si>
    <t>32338465</t>
  </si>
  <si>
    <t>32340000-8 - Мікрофони та гучномовці (32341000-5 - Мікрофони(Мікрофон динамічний на кабелі МД04)</t>
  </si>
  <si>
    <t>32340000-8 Мікрофони та гучномовці</t>
  </si>
  <si>
    <t>32341000-5 - Мікрофони(Мікрофон динамічний на кабелі МД04)</t>
  </si>
  <si>
    <t>32350000-1 Частини до аудіо- та відеообладнання (32351100-9 Відеомонтажне обладнання  (кронштейн для відеокамери)</t>
  </si>
  <si>
    <t>32351100-9 Відеомонтажне обладнання</t>
  </si>
  <si>
    <t>32386461</t>
  </si>
  <si>
    <t>32393877</t>
  </si>
  <si>
    <t>32410000-0 - Локальні мережі (32413100-2 - Маршрутизатори (бездротові маршрутизатори D921-E 4G)</t>
  </si>
  <si>
    <t>32410000-0 Локальні мережі</t>
  </si>
  <si>
    <t>32459822</t>
  </si>
  <si>
    <t>32490244</t>
  </si>
  <si>
    <t>325</t>
  </si>
  <si>
    <t>3250218109</t>
  </si>
  <si>
    <t>3259616594</t>
  </si>
  <si>
    <t>3262302754</t>
  </si>
  <si>
    <t>327</t>
  </si>
  <si>
    <t>3285417224</t>
  </si>
  <si>
    <t>3288506750</t>
  </si>
  <si>
    <t>329e0efa7f7b4f81ac22b2ea2592228d</t>
  </si>
  <si>
    <t>33</t>
  </si>
  <si>
    <t>33140000-3 Медичні матеріали</t>
  </si>
  <si>
    <t>33140000-3 Медичні матеріали (Маска медична захисна)</t>
  </si>
  <si>
    <t>33140000-3 Медичні матеріали (Напальчник латексний, 33141115-9 Медична вата (Вата 50 г н/ст), 33141113-4 Бинти (Бинт перев’язочний 5м*10см н/ст, Бинт перев’язочний 7м*14см н/ст., Бинт перев’язочний 7 м *14см стер.), 33141112-8 Пластирі ( Пластир котуш. 2,5см*9,1м, Пластир 1,9см*7,2см), 33141420-0 Хірургічні рукавички (Рукавички оглядові н/ст. латексні непудрові)</t>
  </si>
  <si>
    <t>33140000-3 Медичні матеріали;33141115-9 Медична вата;33141113-4 Бинти;33141112-8 Пластирі;33141420-0 Хірургічні рукавички</t>
  </si>
  <si>
    <t>3330309512</t>
  </si>
  <si>
    <t>3339853b24054c1493187a4f005f1508</t>
  </si>
  <si>
    <t>33573897</t>
  </si>
  <si>
    <t>336</t>
  </si>
  <si>
    <t>33600000-6 Фармацевтична продукція (33692000-7-Медичні розчини(Аміаку р-н 10% 40мл), 33661200-3- Анальгетичні засоби (Анальгін табл.0,5г. №10 , Спазмалгон табл.№50, Дротаверин табл.40мг № 30), 33622100-7 Кардіологічні лікарські засоби (Валеріани екстракт табл.20 мг №50, Валідол табл. 60 мг №10), 33622200-8-Протигіпертонічні засоби(Каптопрес-Дарниця табл.№20, Папазол Дарниця табл. №10), 33661000-1- Лікарські засоби для лікування хвороб нервової системи (  Корвалмент капс. 100 мг №80), 33622000-6-Лікарські засоби для лікування захворювань серцево-судинної системи (Корвалол краплі 50 мл), 33614000-7- Протидіарейні засоби,засоби для лікування шлунково-кишечних запалень/інфекцій ( Лоперамід табл. 2 мг №20, Левоміцетин-Дарниця табл.0,5г №10), 33632100-0- Протизапальні та протиревматичні засоби (Цитрамон-Дарниця табл.№6, Ацетилсаліцилова к-та 500мг. №10,  Парацетамол капс.500 мг №10), 33612000-3 Лікарські засоби для лікування функціональних розладів шлунково-кишкового тракту (Вугілля активоване табл.0,25 г №10)</t>
  </si>
  <si>
    <t>33692000-7 Медичні розчини;33661200-3 Анальгетичні засоби;33622100-7 Кардіологічні лікарські засоби;33622200-8 Протигіпертонічні засоби;33661000-1 Лікарські засоби для лікування хвороб нервової системи;33622000-6 Лікарські засоби для лікування захворювань серцево-судинної системи;33614000-7 Протидіарейні засоби, засоби для лікування шлунково-кишкових запалень / інфекцій;33632100-0 Протизапальні та протиревматичні засоби;33612000-3 Лікарські засоби для лікування функціональних розладів шлунково-кишкового тракту</t>
  </si>
  <si>
    <t>337</t>
  </si>
  <si>
    <t>33710000-0 Парфуми, засоби гігієни та презервативи</t>
  </si>
  <si>
    <t>33710000-0 Парфуми, засоби гігієни та презервативи (33711900-6 Мило(мило рідке, мило господарське)</t>
  </si>
  <si>
    <t>33711900-6 Мило</t>
  </si>
  <si>
    <t>33711900-6 Мило(мило рідке, мило господарське)</t>
  </si>
  <si>
    <t>33730000-6 Офтальмологічні вироби та коригувальні лінзи (33735100-2 Захисні окуляри (Окуляри газозварника)</t>
  </si>
  <si>
    <t>33735100-2 Захисні окуляри</t>
  </si>
  <si>
    <t>33735100-2 Захисні окуляри (Окуляри газозварника)</t>
  </si>
  <si>
    <t>33760000-5 Туалетний папір, носові хустинки, рушники для рук і серветки</t>
  </si>
  <si>
    <t>33760000-5 Туалетний папір, носові хустинки, рушники для рук і серветки (33761000-2 Туалетний папір (папір туалетний)</t>
  </si>
  <si>
    <t>33761000-2 Туалетний папір (папір туалетний)</t>
  </si>
  <si>
    <t>338</t>
  </si>
  <si>
    <t>3399207172</t>
  </si>
  <si>
    <t>34-0017</t>
  </si>
  <si>
    <t>3418307791</t>
  </si>
  <si>
    <t>34190717</t>
  </si>
  <si>
    <t>34310000-3 Двигуни та їх частини (34312000-7 Частини двигунів (Подушка двигуна права VW)</t>
  </si>
  <si>
    <t>34310000-3 Двигуни та їх частини (34312400-1 Поршні (Поршнева група СМД-60/73 для тракторів Т-150)</t>
  </si>
  <si>
    <t>34311000-0 Двигуни</t>
  </si>
  <si>
    <t>34312000-7 Частини двигунів</t>
  </si>
  <si>
    <t>34312000-7 Частини двигунів (Подушка двигуна права VW)</t>
  </si>
  <si>
    <t>34312400-1 Поршні</t>
  </si>
  <si>
    <t>34312400-1 Поршні (Поршнева група СМД-60/73 для тракторів Т-150)</t>
  </si>
  <si>
    <t>34318917</t>
  </si>
  <si>
    <t xml:space="preserve">34320000-6 Механічні запасні частини, крім двигунів і частин двигунів (34324000-4 Колеса, частини та приладдя до них (Амортизатори) 34327000-5 Керма, кермові колонки та кермові механізми (Фланці, тяги, накінечники кермової тяги, втулки, гайки пальця передньої підвіски, пальці кулькові кермової тяги, кутові редуктори, кермові колонки, механізми кермові, гідроциліндр кермовий) 34321200-5 Коробки передач (Кардані вали) 34322000-0 Гальма та частини гальм (Пневмобалони, стакани пневмобалону, кришки пневмобалону, крани стояночного гальма, педальні гальмівні клапани, педалі ходу, регулятори, гальмівні барабани, важелі, колодки гальмівні, вісі гальмівної колодки, камери гальмівні, супорта гальмівні, гальмівні механізми, накладки гальмівні, гальмівні системи, диски гальмівні, тяги колодочного гальма, комплект колодок) </t>
  </si>
  <si>
    <t>34320000-6 Механічні запасні частини, крім двигунів і частин двигунів (34324000-4 Колеса, частини та приладдя до них (колесо черв’ячне редуктора двері, зірочка приводу дверей КТМ, вкладиші, сайлент блок, профіль буксовий, задній підшипниковий щит, стакан підшипника, елемент підвіски трамваю, елемент підвіски рейкового гальма трамваю, ремкомплект ступиці тролейбусу, амортизатор, кутовий редуктор, головна пара тролейбуса, прижимний диск маточини колісної пари, маточина колісної пари, центр маточини трамвайного колеса, ексцентрик (34321200-5 Коробки передач (хрестовина карданного валу, хвостовик, блок керування (34322000-0 Гальма та частини гальм (барабан гальмівний, фланець гальмівного барабану, педаль ходу, пильник (34327200-7 Кермові колонки та механізми (подушка ізолятора, водило (34325000-1 глушники та вихлопні труби (розподільник (34326000-8 Домкрати, муфти зчеплення та супутні деталі (втулка, поводок з щіткою склоочисника тролейбусу)</t>
  </si>
  <si>
    <t>34322000-0 Гальма та частини гальм;34321200-5 Коробки передач;34321000-3 Осі та коробки передач;34324100-5 Обладнання для балансування коліс;34324000-4 Колеса, частини та приладдя до них;34326100-9 Муфти зчеплення та супутні деталі</t>
  </si>
  <si>
    <t>34324000-4 Колеса, частини та приладдя до них;34321200-5 Коробки передач;34322000-0 Гальма та частини гальм;34327200-7 Кермові колонки та механізми;34325000-1 Глушники та вихлопні труби;34326000-8 Домкрати, муфти зчеплення та супутні деталі</t>
  </si>
  <si>
    <t>34324000-4 Колеса, частини та приладдя до них;34327000-5 Керма, кермові колонки та кермові механізми;34322000-0 Гальма та частини гальм;34321200-5 Коробки передач</t>
  </si>
  <si>
    <t>34330000-9 Запасні частини до вантажних транспортних засобів, фургонів та легкових автомобілів</t>
  </si>
  <si>
    <t>34330000-9 Запасні частини до вантажних транспортних засобів, фургонів та легкових автомобілів (Вкладки, гумові упори, куби гумові, сайлент-блоки, амортизатори, пильники, профіля, гума П-образна, ремкомплекти, подушки ГКО, ущільнювачі, гума ущільнювача, ремені клинові, стрічка транспортера, гума килимкова)</t>
  </si>
  <si>
    <t>34330000-9 Запасні частини до вантажних транспортних засобів, фургонів та легкових автомобілів (Модулятори, клапани, регулятори, осушувачі, вологооливовідділювач, втулки, пальці важеля, подушки амортизатора, шкворні, шарніри, сайлентблоки, головки реактивної штанги, кільця, штанги, датчики, кронштейни, вкладиші, штангоуловлювач</t>
  </si>
  <si>
    <t xml:space="preserve">34330000-9 Запасні частини до вантажних транспортних засобів, фургонів та легкових автомобілів(коробка відбору потужностей, гідророзподільник, штуцер, ніпівмуфта) </t>
  </si>
  <si>
    <t>34350000-5 Шини для транспортних засобів великої та малої тоннажності (34351100-3 Автомобільні шини (Шини)</t>
  </si>
  <si>
    <t xml:space="preserve">34350000-5 Шини для транспортних засобів великої та малої тоннажності (34351100-3 Автомобільні шини (шини) </t>
  </si>
  <si>
    <t>34351100-3 Автомобільні шини</t>
  </si>
  <si>
    <t xml:space="preserve">34351100-3 Автомобільні шини (шини) </t>
  </si>
  <si>
    <t xml:space="preserve">34630000-2 - Частини залізничних або трамвайних локомотивів чи рейкового рухомого складу; обладнання для контролю залізничного руху (34631400-3 Колісні осі та бандажі й інші частини локомотивів чи рейкового рухомого складу (Бандажі та колісні осі) </t>
  </si>
  <si>
    <t>34630000-2 Частини залізничних або трамвайних локомотивів чи рейкового рухомого складу; обладнання для контролю залізничного руху (34631000-9 Частини локомотивів чи рухомого складу (Вхідні двері для трамвайного вагону КТМ-5)</t>
  </si>
  <si>
    <t xml:space="preserve">34630000-2 Частини залізничних або трамвайних локомотивів чи рейкового рухомого складу; обладнання для контролю залізничного руху (34631300-2 Сидіння для рейкового рухомого складу (Сидіння пасажирські, сидіння водія) </t>
  </si>
  <si>
    <t>34631000-9 Частини локомотивів чи рухомого складу</t>
  </si>
  <si>
    <t>34631300-2 Сидіння для рейкового рухомого складу</t>
  </si>
  <si>
    <t>34631400-3 Колісні осі та бандажі й інші частини локомотивів чи рейкового рухомого складу</t>
  </si>
  <si>
    <t>347</t>
  </si>
  <si>
    <t>348</t>
  </si>
  <si>
    <t>34840efe662a4edfb80e750b6dd8589f</t>
  </si>
  <si>
    <t>34859905</t>
  </si>
  <si>
    <t>349</t>
  </si>
  <si>
    <t>34920000-2 Дорожнє обладнання (34928410-5 Дорожні вказівники (Дорожні вказівники світловідбиваючі 500*350мм)</t>
  </si>
  <si>
    <t>34928410-5 Дорожні вказівники</t>
  </si>
  <si>
    <t>34928410-5 Дорожні вказівники (Дорожні вказівники світловідбиваючі 500*350мм)</t>
  </si>
  <si>
    <t>3493403975</t>
  </si>
  <si>
    <t>34940000-8 Залізничне обладнання (34946100-1 Конструкційні матеріали для залізничних колій (Накладки, болти колійні, прокладки)</t>
  </si>
  <si>
    <t>34940000-8 Залізничне обладнання (34946110-4 Рейки (Рейки NT-1 (34946121-4 Рейкові накладки та підкладки (Підкладки КБЛ-65, накладки стикові NT-1, накладки двоголові, підкладки Д-50, прокладки ПНЦПД (34946000-0 Конструкційні матеріали та приладдя для залізничних колій (Болти для рейкових стиків, клеми ЛК, шайби пружинні, втулки ізоляційні)</t>
  </si>
  <si>
    <t>34940000-8 Залізничне обладнання (34946110-4 Рейки (Рейки R-65) (34946121-4 Рейкові накладки та підкладки (Накладки, прокладка гумові ЦП та ОП (34946000-0 Конструкційні матеріали та приладдя для залізничних колій (Болти закладні, болти клемні, болти для рейкових стиків, клеми ЛК, шайби плоскі ЛК, втулки ізолюючі)</t>
  </si>
  <si>
    <t>34946100-1 Конструкційні матеріали для залізничних колій</t>
  </si>
  <si>
    <t>34946110-4 Рейки;34946000-0 Конструкційні матеріали та приладдя для залізничних колій;34946121-4 Рейкові накладки та підкладки</t>
  </si>
  <si>
    <t>34946121-4 Рейкові накладки та підкладки;34946000-0 Конструкційні матеріали та приладдя для залізничних колій;34946110-4 Рейки</t>
  </si>
  <si>
    <t>34980000-0 Транспортні квитки</t>
  </si>
  <si>
    <t>34980000-0 Транспортні квитки (Місячні проїзні квитки, 15-денні проїзні квитки на трамвай та тролейбус)</t>
  </si>
  <si>
    <t>34990000-3 Регулювальне, запобіжне, сигнальне та освітлювальне обладнання (34996000-5 Регулювальне, запобіжне чи сигнальне дорожнє обладнання (Кнопки аварійного відкривання дверей, світлодіодні "Інвалідна" та зупинка"STOP")</t>
  </si>
  <si>
    <t>34996000-5 Регулювальне, запобіжне чи сигнальне дорожнє обладнання</t>
  </si>
  <si>
    <t>34996000-5 Регулювальне, запобіжне чи сигнальне дорожнє обладнання (Кнопки аварійного відкривання дверей, світлодіодні "Інвалідна" та зупинка"STOP")</t>
  </si>
  <si>
    <t>34b8b0bae42d410ba09ec3974e11abc6</t>
  </si>
  <si>
    <t>35</t>
  </si>
  <si>
    <t>35093020</t>
  </si>
  <si>
    <t>351</t>
  </si>
  <si>
    <t>35110000-8 Протипожежне, рятувальне та захисне обладнання</t>
  </si>
  <si>
    <t>35110000-8 Протипожежне, рятувальне та захисне обладнання (35111000-5 - Протипожежне обладнання (лопати пожежні, сокири пожежні, багри пожежні, ломи пожежні (35111300-8 - Вогнегасники (вогнегасники порошкові)</t>
  </si>
  <si>
    <t>35110000-8 Протипожежне, рятувальне та захисне обладнання (35111000-5 Протипожежне обладнання (Щити пожежні закритого типу)</t>
  </si>
  <si>
    <t>35110000-8 Протипожежне, рятувальне та захисне обладнання (35111000-5 Протипожежне обладнання (Щити пожежні зкритого типу)</t>
  </si>
  <si>
    <t>35110000-8 Протипожежне, рятувальне та захисне обладнання (35111300-8 Вогнегасники (Вогнегасники порошкові зі шлангою ВП-5, Вогнегасники порошкові ВП-2, Вогнегасники вуглекислотні з розтрубом ВВК-3.5 (35111000-5 Протипожежне обладнання (Стенди пожежні зі щитом закритого типу (без комплектації), Стенди пожежні зі щитом відкритого типу стаціонарні (без комплектації) (35111510-3 Ручні інструменти пожежогасіння (Багор пожежний, Лопати пожежні штикові, Ломи пожежні із загибом, Сокири пожежні з діелектричною ручкою)</t>
  </si>
  <si>
    <t>35111000-5 Протипожежне обладнання</t>
  </si>
  <si>
    <t>35111000-5 Протипожежне обладнання (Щити пожежні зкритого типу)</t>
  </si>
  <si>
    <t>35111000-5 Протипожежне обладнання;35111300-8 Вогнегасники</t>
  </si>
  <si>
    <t>35111000-5 Протипожежне обладнання;35111300-8 Вогнегасники;35111510-3 Ручні інструменти пожежогасіння</t>
  </si>
  <si>
    <t>35290966</t>
  </si>
  <si>
    <t>353</t>
  </si>
  <si>
    <t>35302431</t>
  </si>
  <si>
    <t>3531301487</t>
  </si>
  <si>
    <t>354</t>
  </si>
  <si>
    <t>355</t>
  </si>
  <si>
    <t>35513211</t>
  </si>
  <si>
    <t>35594149</t>
  </si>
  <si>
    <t>35596172</t>
  </si>
  <si>
    <t>356</t>
  </si>
  <si>
    <t>35601501</t>
  </si>
  <si>
    <t>35638615</t>
  </si>
  <si>
    <t>3564306551</t>
  </si>
  <si>
    <t>357</t>
  </si>
  <si>
    <t>35723155</t>
  </si>
  <si>
    <t>357f9130893843959ec300c4cc5baa19</t>
  </si>
  <si>
    <t>358</t>
  </si>
  <si>
    <t>35858132</t>
  </si>
  <si>
    <t>359</t>
  </si>
  <si>
    <t>35960913</t>
  </si>
  <si>
    <t>36</t>
  </si>
  <si>
    <t>360a26b4b9874fbc9b6b7bb66fa5da3f</t>
  </si>
  <si>
    <t>361</t>
  </si>
  <si>
    <t>363</t>
  </si>
  <si>
    <t>364</t>
  </si>
  <si>
    <t>364027</t>
  </si>
  <si>
    <t>36476580</t>
  </si>
  <si>
    <t>365</t>
  </si>
  <si>
    <t>366</t>
  </si>
  <si>
    <t>367</t>
  </si>
  <si>
    <t>36792193</t>
  </si>
  <si>
    <t>3682195e3db34dcba32b1e90191d2011</t>
  </si>
  <si>
    <t>369</t>
  </si>
  <si>
    <t>36b32bc7f1a84667b25d62bbcdfcd69d</t>
  </si>
  <si>
    <t>36c167a7fe3c4c63822865b1b9f3beaf</t>
  </si>
  <si>
    <t>36d381bd1e654126ba72d3500bcbfd7d</t>
  </si>
  <si>
    <t>37</t>
  </si>
  <si>
    <t>370</t>
  </si>
  <si>
    <t>3704</t>
  </si>
  <si>
    <t>37383046</t>
  </si>
  <si>
    <t>374</t>
  </si>
  <si>
    <t>375</t>
  </si>
  <si>
    <t>37502259</t>
  </si>
  <si>
    <t>37533381</t>
  </si>
  <si>
    <t>376</t>
  </si>
  <si>
    <t>377</t>
  </si>
  <si>
    <t>378</t>
  </si>
  <si>
    <t>37814762</t>
  </si>
  <si>
    <t>379</t>
  </si>
  <si>
    <t>37909775</t>
  </si>
  <si>
    <t>37941143</t>
  </si>
  <si>
    <t>38</t>
  </si>
  <si>
    <t>380</t>
  </si>
  <si>
    <t>382</t>
  </si>
  <si>
    <t>383</t>
  </si>
  <si>
    <t>38340000-0 - Прилади для вимірювання величин (38341300-0 - Прилади для вимірювання електричних величин (мегаомметр)</t>
  </si>
  <si>
    <t>38340000-0 - Прилади для вимірювання величин (38343000-1 - Прилади для виявлення несправностей (рефлектометр високовольтний осцилографічний ІСКРА-4)</t>
  </si>
  <si>
    <t>38340000-0 - Прилади для вимірювання величин (Шаблон колієвимірювальний)</t>
  </si>
  <si>
    <t>38340000-0 - Прилади для вимірювання величин (мегаомметр)</t>
  </si>
  <si>
    <t>38340000-0 Прилади для вимірювання величин</t>
  </si>
  <si>
    <t>38341300-0 Прилади для вимірювання електричних величин</t>
  </si>
  <si>
    <t>38343000-1 Прилади для виявлення несправностей</t>
  </si>
  <si>
    <t>384</t>
  </si>
  <si>
    <t xml:space="preserve">38410000-2 - Лічильні прилади (38412000-6 - Термометри (термоментр безконтактний) </t>
  </si>
  <si>
    <t>38412000-6 Термометри</t>
  </si>
  <si>
    <t>38430000-8 - Детектори та аналізатори (38434000-6 - Тестери (Газоаналізатор (Алкотестер) Алкофор s40)</t>
  </si>
  <si>
    <t>38430000-8 Детектори та аналізатори (38434000-6 Тестери (Газоаналізатор (Алкотестер)Алкофор s40)</t>
  </si>
  <si>
    <t>38434000-6 Тестери</t>
  </si>
  <si>
    <t>38434000-6 Тестери (Газоаналізатор (Алкотестер)Алкофор s40)</t>
  </si>
  <si>
    <t>3852c0fb6707401f8110bd7dbbcf09a6</t>
  </si>
  <si>
    <t>385e431e7b6d4b7a893bed8410417f4d</t>
  </si>
  <si>
    <t>38620000-7 - Поляризаційні матеріали (38622000-1 - Дзеркала (дзеркала)</t>
  </si>
  <si>
    <t>38620000-7 Поляризаційні матеріали (38622000-1 Дзеркала (дзеркала заднього виду, дзеркало бордюрне)</t>
  </si>
  <si>
    <t>38622000-1 Дзеркала</t>
  </si>
  <si>
    <t>38622000-1 Дзеркала (дзеркала заднього виду, дзеркало бордюрне)</t>
  </si>
  <si>
    <t>38635706</t>
  </si>
  <si>
    <t>38841488</t>
  </si>
  <si>
    <t>38868777</t>
  </si>
  <si>
    <t>38888772</t>
  </si>
  <si>
    <t>38897076</t>
  </si>
  <si>
    <t>38923104</t>
  </si>
  <si>
    <t>38976711</t>
  </si>
  <si>
    <t>39</t>
  </si>
  <si>
    <t>390</t>
  </si>
  <si>
    <t>39071655</t>
  </si>
  <si>
    <t>391</t>
  </si>
  <si>
    <t>39130000-2 - Офісні меблі (шафа для документів офісна, шафа система офіс)</t>
  </si>
  <si>
    <t>39130000-2 Офісні меблі</t>
  </si>
  <si>
    <t>39140000-5 Меблі для дому (39143121-0 Гардеробні шафи (Шафи металеві)</t>
  </si>
  <si>
    <t>39143121-0 Гардеробні шафи</t>
  </si>
  <si>
    <t>39150000-8 Меблі та приспособи різні (39151300-8 - Модульні меблі (тумба офісна з шухляой)</t>
  </si>
  <si>
    <t>39151300-8 Модульні меблі</t>
  </si>
  <si>
    <t>392</t>
  </si>
  <si>
    <t>39220000-0 Кухонне приладдя, товари для дому та господарства і приладдя для закладів громадського харчування (39224200-0 Щітки (Щітки для очищення косарки 315*45мм-5шт, щітки для замітання -5шт, щітка для вулиці з держаком1200мм-7шт, щітка для миття+палиця-10шт, щітка для миття авто-2шт)</t>
  </si>
  <si>
    <t>39220000-0 Кухонне приладдя, товари для дому та господарства і приладдя для закладів громадського харчування (39224330-0 Відра (відро оцинковане, відро пластикове, відро прямокутне) 39224300-1 Мітли, щітки та інше прибиральне приладдя (Віник сорго, шкребок металевий) 39224320-7 Губки (губка поролонова</t>
  </si>
  <si>
    <t>39220000-0 Кухонне приладдя, товари для дому та господарства і приладдя для закладів громадського харчування (шкребок металевий,серветки віскозні) (39224320-7 Губки (губка поролонова, губка поролонова велика) (39224300-1 Мітли, щітки та інше прибиральне приладдя (швабра з віджимом, віник сорго,метла капронова)</t>
  </si>
  <si>
    <t>39220000-0 Кухонне приладдя, товари для дому та господарства і приладдя для закладів громадського харчування (шкребок металевий,серветки віскозні) ; (39224320-7 Губки (губка поролонова, губка поролонова велика);  (39224300-1 Мітли, щітки та інше прибиральне приладдя (швабра з віджимом, віник сорго,метла капронова)</t>
  </si>
  <si>
    <t>39220000-0 Кухонне приладдя, товари для дому та господарства і приладдя для закладів громадського харчування (щкребки металеві) (39224320-7 Губки (губки поролонові)</t>
  </si>
  <si>
    <t>39220000-0 Кухонне приладдя, товари для дому та господарства і приладдя для закладів громадського харчування;39224320-7 Губки</t>
  </si>
  <si>
    <t>39220000-0 Кухонне приладдя, товари для дому та господарства і приладдя для закладів громадського харчування;39224320-7 Губки;39224300-1 Мітли, щітки та інше прибиральне приладдя</t>
  </si>
  <si>
    <t>39224200-0 Щітки</t>
  </si>
  <si>
    <t>39224330-0 Відра;39224300-1 Мітли, щітки та інше прибиральне приладдя;39224320-7 Губки</t>
  </si>
  <si>
    <t>39240000-6 Різальні інструменти (39241200-5 Ножиці (Ножиці для порізки тросу, контактного проводу)</t>
  </si>
  <si>
    <t>39241200-5 Ножиці</t>
  </si>
  <si>
    <t>39241200-5 Ножиці (Ножиці для порізки тросу, контактного проводу)</t>
  </si>
  <si>
    <t xml:space="preserve">39290000-1 - Фурнітура різна (39294100-0 - Інформаційна та рекламна продукція (банерні сітки з друком та люверсами по периметру, наліпки) </t>
  </si>
  <si>
    <t>39290000-1 Фурнітура різна</t>
  </si>
  <si>
    <t>39290000-1 Фурнітура різна (39294100-0 Інформаційна та рекламна продукція (Наліпки)</t>
  </si>
  <si>
    <t>39290000-1 Фурнітура різна (39294100-0 Інформаційна та рекламна продукція (Наліпки, таблички)</t>
  </si>
  <si>
    <t>39294100-0 Інформаційна та рекламна продукція</t>
  </si>
  <si>
    <t>39294100-0 Інформаційна та рекламна продукція (Наліпки, таблички)</t>
  </si>
  <si>
    <t>39297808</t>
  </si>
  <si>
    <t>393</t>
  </si>
  <si>
    <t>39328961</t>
  </si>
  <si>
    <t>39376560</t>
  </si>
  <si>
    <t>394</t>
  </si>
  <si>
    <t>395</t>
  </si>
  <si>
    <t>39507154</t>
  </si>
  <si>
    <t>39520000-3 Готові текстильні вироби</t>
  </si>
  <si>
    <t>39520000-3 Готові текстильні вироби (39525800-6 Ганчірки для прибирання (ганчірки бавовняні)</t>
  </si>
  <si>
    <t>39520000-3 Готові текстильні вироби (Ганчір’я бавовняне)</t>
  </si>
  <si>
    <t>39525800-6 Ганчірки для прибирання</t>
  </si>
  <si>
    <t>39525800-6 Ганчірки для прибирання (ганчірки бавовняні)</t>
  </si>
  <si>
    <t>39540000-9 - Вироби різні з канату, мотузки, шпагату та сітки (39541220-4 - Стропи (Стропи СКП)</t>
  </si>
  <si>
    <t>39541220-4 - Стропи (Стропи СКП)</t>
  </si>
  <si>
    <t>39541220-4 Стропи</t>
  </si>
  <si>
    <t>396</t>
  </si>
  <si>
    <t>39664151</t>
  </si>
  <si>
    <t>397</t>
  </si>
  <si>
    <t>39710000-2 - Електричні побутові прилади (бойлери)</t>
  </si>
  <si>
    <t>39710000-2 Електричні побутові прилади</t>
  </si>
  <si>
    <t>39710000-2 Електричні побутові прилади (39715240-1 Електроприлади для обігріву приміщень (Електрообігрівач інфрачервоного випромінювання)</t>
  </si>
  <si>
    <t>39710000-2 Електричні побутові прилади (39716000-4 Частини побутових електричних приладів (Набір для обслуговування кондиціонерів,інжектори, детектори,ваги,пірометр,набір адаптерів,вакуумний насос)</t>
  </si>
  <si>
    <t>39715240-1 Електроприлади для обігріву приміщень</t>
  </si>
  <si>
    <t>39716000-4 Частини побутових електричних приладів</t>
  </si>
  <si>
    <t>39716000-4 Частини побутових електричних приладів (Набір для обслуговування кондиціонерів,інжектори, детектори,ваги,пірометр,набір адаптерів,вакуумний насос)</t>
  </si>
  <si>
    <t>398</t>
  </si>
  <si>
    <t>39810000-3 - Ароматизатори та воски (39812500-2 - Герметики (герметик)</t>
  </si>
  <si>
    <t>39810000-3 Ароматизатори та воски (39812500-2 Герметики (Герметики)</t>
  </si>
  <si>
    <t>39812500-2 Герметики</t>
  </si>
  <si>
    <t>39812500-2 Герметики (Герметики)</t>
  </si>
  <si>
    <t>39816321</t>
  </si>
  <si>
    <t>39828934</t>
  </si>
  <si>
    <t>39830000-9 Продукція для чищення</t>
  </si>
  <si>
    <t>39830000-9 Продукція для чищення (39831000-6 Засоби для прання і миття (миючий засіб  500 мл., миючий засіб для підлоги 1л, миючий засіб для унітазу 750 мл, миючий засіб для скла 500мл,., паста «Авто-майстер» 550г., засіб для чищення 500 грм., пральний порошок 400 г., білизна 900 мл.)</t>
  </si>
  <si>
    <t>39830000-9 Продукція для чищення (39831500-1 Засоби для чищення і миття автомобілів (Очищувач для килимів і оббивки, активна піна 20л,засіб для зовнішнього миття)</t>
  </si>
  <si>
    <t>39830000-9 Продукція для чищення (миючий засіб для посуду, білизна, чистячий засіб, миючий засіб для унітазу, миючий засіб для скла, порошок пральний, паста «Авто майстер»)</t>
  </si>
  <si>
    <t>39831000-6 Засоби для прання і миття</t>
  </si>
  <si>
    <t>39831000-6 Засоби для прання і миття (миючий засіб  500 мл., миючий засіб для підлоги 1л, миючий засіб для унітазу 750 мл, миючий засіб для скла 500мл,., паста «Авто-майстер» 550г., засіб для чищення 500 грм., пральний порошок 400 г., білизна 900 мл.)</t>
  </si>
  <si>
    <t>39831500-1 Засоби для чищення і миття автомобілів</t>
  </si>
  <si>
    <t>39831500-1 Засоби для чищення і миття автомобілів (Очищувач для килимів і оббивки, активна піна 20л,засіб для зовнішнього миття)</t>
  </si>
  <si>
    <t>399</t>
  </si>
  <si>
    <t>3a10260ac6d94a59b2f846fbb824c762</t>
  </si>
  <si>
    <t>3a6a179a73d147e181e7351924f59f14</t>
  </si>
  <si>
    <t>3b059ee820b544b790b98bada5a0e30d</t>
  </si>
  <si>
    <t>3c08eecdab2b4dc8b78f4af9eb7fc275</t>
  </si>
  <si>
    <t>3dbc1f3f301b4d598614912ccac96aca</t>
  </si>
  <si>
    <t>3ddc6a8464d8488481a760dbd8931e39</t>
  </si>
  <si>
    <t>3df211c7a2a5469d8c7668bb3e1a8333</t>
  </si>
  <si>
    <t>3e36a2f7a3e24957b1dc728ffb7e268f</t>
  </si>
  <si>
    <t>3ea0515e6ea643d5adfa598787d82afa</t>
  </si>
  <si>
    <t>3fc2790110e6407a91d2a2446df06882</t>
  </si>
  <si>
    <t>4</t>
  </si>
  <si>
    <t>40</t>
  </si>
  <si>
    <t>400</t>
  </si>
  <si>
    <t>401</t>
  </si>
  <si>
    <t>40109016</t>
  </si>
  <si>
    <t>40169080</t>
  </si>
  <si>
    <t>40170358</t>
  </si>
  <si>
    <t>402</t>
  </si>
  <si>
    <t>403</t>
  </si>
  <si>
    <t>403dc8415684454eb0664835cc288ae6</t>
  </si>
  <si>
    <t>404</t>
  </si>
  <si>
    <t>405</t>
  </si>
  <si>
    <t>406</t>
  </si>
  <si>
    <t>407</t>
  </si>
  <si>
    <t>40733799</t>
  </si>
  <si>
    <t>40850161</t>
  </si>
  <si>
    <t>409</t>
  </si>
  <si>
    <t>40968610</t>
  </si>
  <si>
    <t>41</t>
  </si>
  <si>
    <t>41013173</t>
  </si>
  <si>
    <t>41106016</t>
  </si>
  <si>
    <t>41216749</t>
  </si>
  <si>
    <t>41225528</t>
  </si>
  <si>
    <t>41247379</t>
  </si>
  <si>
    <t>413</t>
  </si>
  <si>
    <t>41480776</t>
  </si>
  <si>
    <t>415</t>
  </si>
  <si>
    <t>41544499</t>
  </si>
  <si>
    <t>417</t>
  </si>
  <si>
    <t>41753486</t>
  </si>
  <si>
    <t>41760190</t>
  </si>
  <si>
    <t>41767620</t>
  </si>
  <si>
    <t>41856206</t>
  </si>
  <si>
    <t>41ba8f798f114a90af5ba559d65036fa</t>
  </si>
  <si>
    <t>42</t>
  </si>
  <si>
    <t>42/194</t>
  </si>
  <si>
    <t>42029199</t>
  </si>
  <si>
    <t>42120000-6 - Насоси та компресори (42122000-0 - Насоси (Насоси ГУР 130-3407200)</t>
  </si>
  <si>
    <t>42120000-6 Насоси та компресори</t>
  </si>
  <si>
    <t>42120000-6 Насоси та компресори (насос шестерний)</t>
  </si>
  <si>
    <t>42122000-0 Насоси</t>
  </si>
  <si>
    <t>42130000-9 Арматура трубопровідна: крани, вентилі, клапани та подібні пристрої (42131000-6 Крани, вентилі та клапани (Змішувачі, крани) 42131260-6 Кульові крани (Кульові крани)</t>
  </si>
  <si>
    <t>42131000-6 Крани, вентилі та клапани;42131260-6 Кульові крани</t>
  </si>
  <si>
    <t>42140000-2 Зубчасті колеса, зубчасті передачі та приводні елементи (42141100-0 Трансмісійні, розподільні та колінчасті вали (Черв’ячні вали, кардані вали) 42141000-9 Прямозубі циліндричні зубчасті колеса, зубчасті передачі та приводні елементи (Вінці зубчасті, маточини зубчастого вінця, водила, шестерні, головні пари, фланці редуктору, редуктори, маточини колеса заднього, зірочки приводу дверей, колеса черв’ячні редуктора дверей, пари шестерень склоочисника редуктора, двоплечі важелі дверного редуктора, хрестовини, вали шестерні, тарілчасті колеса, фланці шліцеві, втулки редуктора, втулки з диском, маточина з диском, гайки вісьові трамвайного колеса, ексцентрики)</t>
  </si>
  <si>
    <t>42141000-9 Прямозубі циліндричні зубчасті колеса, зубчасті передачі та приводні елементи;42141100-0 Трансмісійні, розподільні та колінчасті вали</t>
  </si>
  <si>
    <t>42160000-8 Котельні установки (42161000-5 Водонагрівальні бойлери (Бойлер електричний)</t>
  </si>
  <si>
    <t>42160000-8 Котельні установки (42161000-5 Водонагрівальні бойлери (Бойлери Gorenje GBF 150 сухий тен)</t>
  </si>
  <si>
    <t>42161000-5 Водонагрівальні бойлери</t>
  </si>
  <si>
    <t>42161000-5 Водонагрівальні бойлери (Бойлери Gorenje GBF 150 сухий тен)</t>
  </si>
  <si>
    <t>42353322</t>
  </si>
  <si>
    <t>42410000-3 - Підіймально-транспортувальне обладнання (42416100-6 Підіймальні пристрої (захоплювач для рейок кліщовий)</t>
  </si>
  <si>
    <t>42410000-3 Підіймально-транспортувальне обладнання (42416100-6 Підіймальні пристрої (Лебідка механічна)</t>
  </si>
  <si>
    <t>42410378</t>
  </si>
  <si>
    <t>42416100-6 Підіймальні пристрої</t>
  </si>
  <si>
    <t>42416100-6 Підіймальні пристрої (Лебідка механічна)</t>
  </si>
  <si>
    <t>42420000-6 Ковші, лопати, грейдери та затискачі для підіймальних кранів чи екскаваторів</t>
  </si>
  <si>
    <t>42420000-6 Ковші, лопати, грейдери та затискачі для підіймальних кранів чи екскаваторів (Зуб ковша, Зуб ковша лівий, Зуб ковша правий)</t>
  </si>
  <si>
    <t>42421046</t>
  </si>
  <si>
    <t>42510000-4 Теплообмінники, кондиціонери повітря, холодильне обладнання та фільтрувальні пристрої</t>
  </si>
  <si>
    <t>42510000-4 Теплообмінники, кондиціонери повітря, холодильне обладнання та фільтрувальні пристрої (42512000-8 Установки для кондиціювання повітря (кондиціонери)</t>
  </si>
  <si>
    <t>42510000-4 Теплообмінники, кондиціонери повітря, холодильне обладнання та фільтрувальні пристрої (42514310-8 Повітряні фільтри (Фільтр повітряний 4093100200)</t>
  </si>
  <si>
    <t>42510000-4 Теплообмінники, кондиціонери повітря, холодильне обладнання та фільтрувальні пристрої (42514310-8 Повітряні фільтри (фільтр осушувача М39х1,5 WABCO 4324102227).</t>
  </si>
  <si>
    <t>42512000-8 Установки для кондиціювання повітря</t>
  </si>
  <si>
    <t>42514310-8 Повітряні фільтри</t>
  </si>
  <si>
    <t>42514310-8 Повітряні фільтри (Фільтр повітряний 4093100200)</t>
  </si>
  <si>
    <t>42514310-8 Повітряні фільтри (фільтр осушувача М39х1,5 WABCO 4324102227).</t>
  </si>
  <si>
    <t>42571036</t>
  </si>
  <si>
    <t>42619664</t>
  </si>
  <si>
    <t>42650000-7 Ручні інструменти пневматичні чи моторизовані (42651000-4 Пневматичні ручні інструменти (краскопульт, аерограф)</t>
  </si>
  <si>
    <t xml:space="preserve">42650000-7 Ручні інструменти пневматичні чи моторизовані (42652000-1 Електромеханічні ручні інструменти та комплектуючі (Висоторіз акумуляторний DeWALT DCMPS567P1,20см, 1*5Аr, 18В,5.4 кг) </t>
  </si>
  <si>
    <t>42651000-4 Пневматичні ручні інструменти</t>
  </si>
  <si>
    <t>42651000-4 Пневматичні ручні інструменти (краскопульт, аерограф)</t>
  </si>
  <si>
    <t>42652000-1 Електромеханічні ручні інструменти</t>
  </si>
  <si>
    <t xml:space="preserve">42652000-1 Електромеханічні ручні інструменти та комплектуючі (Висоторіз акумуляторний DeWALT DCMPS567P1,20см, 1*5Аr, 18В,5.4 кг) </t>
  </si>
  <si>
    <t>42660000-0 Інструменти для паяння м'яким i твердим припоєм та для зварювання, машини та устаткування для поверхневої термообробки i гарячого напилювання (42662000-4 Зварювальне обладнання (Аргонодуговий зварювальний апарат)</t>
  </si>
  <si>
    <t>42660000-0 Інструменти для паяння м’яким і твердим припоєм та для зварювання, машини та устаткування для поверхневої термообробки і гарячого напилювання (42662000-4 Зварювальне обладнання (Дріт зварювальний обміднений, електроди )</t>
  </si>
  <si>
    <t>42662000-4 Зварювальне обладнання</t>
  </si>
  <si>
    <t>42662000-4 Зварювальне обладнання (Аргонодуговий зварювальний апарат)</t>
  </si>
  <si>
    <t>42662091</t>
  </si>
  <si>
    <t>42670000-3 Частини та приладдя до верстатів</t>
  </si>
  <si>
    <t xml:space="preserve">42670000-3 Частини та приладдя до верстатів (42674000-1 Частини та приладдя до металообробних верстатів (Патрон токарний) </t>
  </si>
  <si>
    <t>42670000-3 Частини та приладдя до верстатів (42674000-1 Частини та приладдя до металообробних верстатів (Пластини, свердла,різци)</t>
  </si>
  <si>
    <t>42670000-3 Частини та приладдя до верстатів (мітчики, центр верстатний, патрони, розвертки ручні регульовані, різці, проволока пломбірувальна, свердла, плашки)</t>
  </si>
  <si>
    <t>42674000-1 Частини та приладдя до металообробних верстатів</t>
  </si>
  <si>
    <t xml:space="preserve">42674000-1 Частини та приладдя до металообробних верстатів (Патрон токарний) </t>
  </si>
  <si>
    <t>42674000-1 Частини та приладдя до металообробних верстатів (Пластини, свердла,різци)</t>
  </si>
  <si>
    <t>42804379</t>
  </si>
  <si>
    <t>42823412</t>
  </si>
  <si>
    <t>42908024</t>
  </si>
  <si>
    <t>42910000-8 Апарати для дистилювання, фільтрування чи ректифікації (42912350-0 - Обладнання для фільтрувальних установок (Станція постійного дозування FACO 1006 продуктивністю 0,1-6,0 л/год.)</t>
  </si>
  <si>
    <t>42912350-0 - Обладнання для фільтрувальних установок (Станція постійного дозування FACO 1006 продуктивністю 0,1-6,0 л/год.)</t>
  </si>
  <si>
    <t>42912350-0 Обладнання для фільтрувальних установок</t>
  </si>
  <si>
    <t>42940529</t>
  </si>
  <si>
    <t>42950000-0 Частини універсальних машин (42957000-9 Частини розпилювальних машин (Пінна насадка ємністю 1л з'єднання гайка М22*1,5)</t>
  </si>
  <si>
    <t>42950000-0 – Частини універсальних машин (42956000-2 Частини очисних машин  (Щітка для мийки 15CHRIST 900 POLYETNYLENE F)</t>
  </si>
  <si>
    <t>42956000-2 Частини очисних машин</t>
  </si>
  <si>
    <t>42956000-2 Частини очисних машин  (Щітка для мийки 15CHRIST 900 POLYETNYLENE F)</t>
  </si>
  <si>
    <t>42957000-9 Частини розпилювальних машин</t>
  </si>
  <si>
    <t>42957000-9 Частини розпилювальних машин (Пінна насадка ємністю 1л з'єднання гайка М22*1,5)</t>
  </si>
  <si>
    <t>42960000-3 - Системи керування та контролю, друкарське і графічне обладнання та обладнання для автоматизації офісу й обробки інформації (42961100-1 - Системи контролю доступу (EM-06 print EM Marine 125 кГц Карта)</t>
  </si>
  <si>
    <t>42961100-1 - Системи контролю доступу (EM-06 print EM Marine 125 кГц Карта)</t>
  </si>
  <si>
    <t>42961100-1 Системи контролю доступу</t>
  </si>
  <si>
    <t>42990000-2 Машини спеціального призначення різні (42994220-8 Приладдя для ламінації (плівка для ламінування)</t>
  </si>
  <si>
    <t>42994220-8 Приладдя для ламінації</t>
  </si>
  <si>
    <t>42994220-8 Приладдя для ламінації (плівка для ламінування)</t>
  </si>
  <si>
    <t>42a5707d3e37448b91866ea15c41cca1</t>
  </si>
  <si>
    <t>42cbfbbefdb2457e890296869453f472</t>
  </si>
  <si>
    <t>42f3bc1579074570bf889064cef81388</t>
  </si>
  <si>
    <t>43</t>
  </si>
  <si>
    <t>43069448</t>
  </si>
  <si>
    <t>43130000-3 Бурове обладнання</t>
  </si>
  <si>
    <t>43130000-3 Бурове обладнання (43132300-0 Бури (Бур гідравлічний у зборі з двигуном)</t>
  </si>
  <si>
    <t>43291346</t>
  </si>
  <si>
    <t>43410000-0 Машини для обробки мінералів (43413100-2 Мішалки для цементного розчину (Бетонозмішувач)</t>
  </si>
  <si>
    <t>43413100-2 Мішалки для цементного розчину</t>
  </si>
  <si>
    <t>43413100-2 Мішалки для цементного розчину (Бетонозмішувач)</t>
  </si>
  <si>
    <t>43674679</t>
  </si>
  <si>
    <t>43712939</t>
  </si>
  <si>
    <t>43714559</t>
  </si>
  <si>
    <t>43830000-0 - Електричні інструменти (дриль ударний, кутова шліфмашина)</t>
  </si>
  <si>
    <t xml:space="preserve">43830000-0 - Електричні інструменти (шурупокрут акумуляторний) </t>
  </si>
  <si>
    <t>43830000-0 Електричні інструменти</t>
  </si>
  <si>
    <t>43830000-0 Електричні інструменти (Ножиці електричні,ножівка маятникова,пилка дискова,кутові шліфмашини)</t>
  </si>
  <si>
    <t>43830000-0 Електричні інструменти (Пряма шліфмашина)</t>
  </si>
  <si>
    <t>43830000-0 Електричні інструменти (кутова шліфмашина)</t>
  </si>
  <si>
    <t>43974255</t>
  </si>
  <si>
    <t>44</t>
  </si>
  <si>
    <t>44/81</t>
  </si>
  <si>
    <t>44110000-4 Конструкційні матеріали ( 44111200-3 Цемент(Цемент ПЦ II /Б-Ж-40025 кг-160 шт, ЧВ-Клей цемент для плитки Міга 3000 Standardbix 25 кг-40шт)</t>
  </si>
  <si>
    <t xml:space="preserve">44110000-4 Конструкційні матеріали (44113120-2 Тротуарна плитка (Тротуарна плитка ФЕМ «Хвиля») </t>
  </si>
  <si>
    <t>44111200-3 Цемент</t>
  </si>
  <si>
    <t>44111200-3 Цемент(Цемент ПЦ II /Б-Ж-40025 кг-160 шт, ЧВ-Клей цемент для плитки Міга 3000 Standardbix 25 кг-40шт)</t>
  </si>
  <si>
    <t>44113120-2 Тротуарна плитка</t>
  </si>
  <si>
    <t xml:space="preserve">44113120-2 Тротуарна плитка (Тротуарна плитка ФЕМ «Хвиля») </t>
  </si>
  <si>
    <t xml:space="preserve">44160000-9 Магістралі, трубопроводи, труби, обсадні труби, тюбінги та супутні вироби (44163100-1 Труби (Труби, бухти) 44163200-2 Трубна арматура (Сифони, коліна, кутки, заглушки, трійники, кріплення, перехідники, гофра, клапани, фільтри, планки) 44163240-4 Трубні муфти (Муфти) 44165100-5 Шланги (Шланги) </t>
  </si>
  <si>
    <t>44163240-4 Трубні муфти;44163100-1 Труби;44163200-2 Трубна арматура;44165100-5 Шланги</t>
  </si>
  <si>
    <t>44170000-2 - Плити, листи, стрічки та фольга, пов’язані з конструкційними матеріалами (44173000-3 - Стрічки (стрічка малярна)</t>
  </si>
  <si>
    <t>44170000-2 Плити, листи, стрічки та фольга, пов’язані з конструкційними матеріалами</t>
  </si>
  <si>
    <t>44170000-2 Плити, листи, стрічки та фольга, пов’язані з конструкційними матеріалами (44172000-6 Плити будівельні (полікарбонат)</t>
  </si>
  <si>
    <t>44170000-2 Плити, листи, стрічки та фольга, пов’язані з конструкційними матеріалами (44173000-3 Стрічки (Мембрани, стрічки) 44172000-6 Листи (будівельні) (Листи, профлисти, планки)</t>
  </si>
  <si>
    <t xml:space="preserve">44170000-2 Плити, листи, стрічки та фольга, пов’язані з конструкційними матеріалами (44176000-4 Плівки (Плівка п/е 200мк (50м) </t>
  </si>
  <si>
    <t>44172000-6 Листи (будівельні)</t>
  </si>
  <si>
    <t>44173000-3 Стрічки;44172000-6 Листи (будівельні)</t>
  </si>
  <si>
    <t>44176000-4 Плівки</t>
  </si>
  <si>
    <t>44176000-4 Плівки (Плівка п/е 200мк (50м)</t>
  </si>
  <si>
    <t>44190000-8 Конструкційні матеріали різні</t>
  </si>
  <si>
    <t>44190000-8 Конструкційні матеріали різні (ЧВ-сітка штукатурна лугостійка, склосітка штукатурна)</t>
  </si>
  <si>
    <t xml:space="preserve">44210000-5 Конструкції та їх частини (44211100-3 Модульні та переносні споруди (Модульна конструкція (збірно – розбірна) для розміщення диспетчерського пункту (МАФ) </t>
  </si>
  <si>
    <t>44211100-3 Модульні та переносні споруди</t>
  </si>
  <si>
    <t>44220000-8 - Столярні вироби (44221100-6 - Вікна (металопластикові вікна у зборі)</t>
  </si>
  <si>
    <t>44220000-8 Столярні вироби</t>
  </si>
  <si>
    <t>44220000-8 Столярні вироби (44221100-6 Вікна (Вікна ПВХ)</t>
  </si>
  <si>
    <t xml:space="preserve">44220000-8 Столярні вироби (44221100-6 Вікна (Металопластикові вікна з монтажем) </t>
  </si>
  <si>
    <t>44220000-8 Столярні вироби (44221200-7 - Двері (металопластикові двері)</t>
  </si>
  <si>
    <t>44221100-6 Вікна</t>
  </si>
  <si>
    <t>44221200-7 Двері</t>
  </si>
  <si>
    <t>44306803</t>
  </si>
  <si>
    <t>44310000-6 Вироби з дроту</t>
  </si>
  <si>
    <t xml:space="preserve">44310000-6 Вироби з дроту (44311000-3 Металеві троси (Канат сталевий оцинкований ф 6,8) </t>
  </si>
  <si>
    <t>44310000-6 Вироби з дроту (Дріт зварювальний обміднений, електроди)</t>
  </si>
  <si>
    <t>44311000-3 Металеві троси</t>
  </si>
  <si>
    <t>44320000-9 Кабелі та супутня продукція (44321000-6 Кабелі (Кабель КГНВ 1*95)</t>
  </si>
  <si>
    <t xml:space="preserve">44320000-9 Кабелі та супутня продукція (44321000-6 Кабелі (Кабелі, провода) </t>
  </si>
  <si>
    <t>44320000-9 Кабелі та супутня продукція (44322100-4 Кабельні канали (Кабельні канали (44322000-3 Кабельне приладдя (Шини нульові, накінечники, конектори, термоусаджувальні трубки, кабельні стяжки)</t>
  </si>
  <si>
    <t>44321000-6 Кабелі</t>
  </si>
  <si>
    <t>44321000-6 Кабелі (Кабель КГНВ 1*95)</t>
  </si>
  <si>
    <t>44322000-3 Кабельне приладдя</t>
  </si>
  <si>
    <t xml:space="preserve">44330000-2 - Будівельні прути, стрижні, дроти та профілі (44334000-0 - Профілі (Алюмінієві профілі) </t>
  </si>
  <si>
    <t>44330000-2 Будівельні прути, стрижні, дроти та профілі</t>
  </si>
  <si>
    <t>44330000-2 Будівельні прути, стрижні, дроти та профілі (44334000-0 - Профілі (алюмінієві профілі)</t>
  </si>
  <si>
    <t>44334000-0 Профілі</t>
  </si>
  <si>
    <t>44334000-0 Профілі (Алюмінієві профілі, полоси, кутники)</t>
  </si>
  <si>
    <t>44423181</t>
  </si>
  <si>
    <t>44440000-6 Вальниці</t>
  </si>
  <si>
    <t xml:space="preserve">44440000-6 Вальниці (Підшипники) </t>
  </si>
  <si>
    <t>44443826</t>
  </si>
  <si>
    <t>44480000-8 Протипожежне обладнання різне (44482100-3 Пожежні шланги (Рукава пожежні)</t>
  </si>
  <si>
    <t>44482100-3 Пожежні шланги</t>
  </si>
  <si>
    <t>44510000-8 Знаряддя (44512000-2 Ручні інструменти різні ( зубило, різак, тріскачка, ручка для кувалди, щипці для обжиму кабельних накінечників)</t>
  </si>
  <si>
    <t>44512000-2 Ручні інструменти різні</t>
  </si>
  <si>
    <t>44512000-2 Ручні інструменти різні ( зубило, різак, тріскачка, ручка для кувалди, щипці для обжиму кабельних накінечників)</t>
  </si>
  <si>
    <t>44520000-1 Замки, ключі та петлі (44521210-3 Навісні замки (Замок навісний ВС 21-80, Замок навісний ВС 20-80, Замок висячий, замок навісний 60 мм хром)</t>
  </si>
  <si>
    <t>44520000-1 Замки, ключі та петлі (44521210-3 Навісні замки (замок навісний HR-SP4-50D стальний 50мм, замок навісний вологостійкий HR-WS1L-50E стальний 50 мм, замок навісний 70 мм хром)</t>
  </si>
  <si>
    <t>44521000-8 Навісні та врізні замки різні</t>
  </si>
  <si>
    <t>44521210-3 Навісні замки</t>
  </si>
  <si>
    <t>44521210-3 Навісні замки (Замок навісний ВС 21-80, Замок навісний ВС 20-80, Замок висячий Avers PP-15-17, замок навісний 60 мм хром)</t>
  </si>
  <si>
    <t>44530000-4 Кріпильні деталі (44531300-4 Саморізи (Саморізи) 44531400-5 Болти (Болти) 44531600-7 Гайки (Гайки) 44532200-0 Шайби (Шайби) 44532000-8 Кріпильні деталі без нарізі (Гровера, стяжки нейлонові) 44532300-1 Шплінти (Шплінти) 44532100-9 Заклепки (Заклепки) 44531000-1 Кріпильні деталі з наріззю (Дюбеля) 44531100-2 Шурупи (Шурупи)</t>
  </si>
  <si>
    <t xml:space="preserve">44530000-4 Кріпильні деталі (44531600-7 Гайки (Гайки) 44531000-1 Кріпильні деталі з наріззю (Гвинти, пресмасленки) 44532000-8 Кріпильні деталі без нарізі (Скоби, цвяхи, хомути) 44531300-4 Саморізи (Саморізи) 44532100-9 Заклепки (Заклепки) 44532200-0 Шайби (Термошайби) </t>
  </si>
  <si>
    <t>44531400-5 Болти;44531600-7 Гайки;44532200-0 Шайби;44532000-8 Кріпильні деталі без нарізі;44532300-1 Шплінти;44532100-9 Заклепки;44531000-1 Кріпильні деталі з наріззю;44531100-2 Шурупи;44531300-4 Саморізи</t>
  </si>
  <si>
    <t>44531600-7 Гайки;44531000-1 Кріпильні деталі з наріззю;44532000-8 Кріпильні деталі без нарізі;44531300-4 Саморізи;44532100-9 Заклепки;44532200-0 Шайби</t>
  </si>
  <si>
    <t>44592854</t>
  </si>
  <si>
    <t>44618306</t>
  </si>
  <si>
    <t>44631154</t>
  </si>
  <si>
    <t>44677136</t>
  </si>
  <si>
    <t>44725954</t>
  </si>
  <si>
    <t>44810000-1 Фарби</t>
  </si>
  <si>
    <t>44810000-1 Фарби (44812100-6 Емалі та глазурі (119-4302-11RUS Синтетична фінішна емаль 1015 1л.)</t>
  </si>
  <si>
    <t>44810000-1 Фарби (44812100-6 Емалі та глазурі (Емаль алкідна, акрилова, ґрунтовки)</t>
  </si>
  <si>
    <t>44810000-1 Фарби (44812100-6 Емалі та глазурі (Фарби автомобільні, ґрунтовка)</t>
  </si>
  <si>
    <t>44812100-6 Емалі та глазурі</t>
  </si>
  <si>
    <t>44812100-6 Емалі та глазурі (119-4302-11RUS Синтетична фінішна емаль 1015 1л.)</t>
  </si>
  <si>
    <t>44820000-4 Лаки</t>
  </si>
  <si>
    <t>44820000-4 Лаки (Лак МЛ-92)</t>
  </si>
  <si>
    <t xml:space="preserve">44830000-7 - Мастики, шпаклівки, замазки та розчинники (44832000-1 - Розчинники (розчинники) </t>
  </si>
  <si>
    <t>44830000-7 Мастики, шпаклівки, замазки та розчинники</t>
  </si>
  <si>
    <t>44830000-7 Мастики, шпаклівки, замазки та розчинники (44831200-6 Шпаклівки (Шпаклівка 36 штук)</t>
  </si>
  <si>
    <t>44830000-7 Мастики, шпаклівки, замазки та розчинники (44831200-6 Шпаклівки (Шпаклівки)</t>
  </si>
  <si>
    <t>44830000-7 Мастики, шпаклівки, замазки та розчинники (44831300-7 - Замазки (консервант деревини Вогнебіозаист концентрат 1:5, 5л.)</t>
  </si>
  <si>
    <t>44830000-7 Мастики, шпаклівки, замазки та розчинники (44832000-1 Розчинники (розчинник акриловий 5л. Sotro)</t>
  </si>
  <si>
    <t>44831200-6 Шпаклівки</t>
  </si>
  <si>
    <t>44831200-6 Шпаклівки (Шпаклівка 36 штук)</t>
  </si>
  <si>
    <t>44832000-1 Розчинники</t>
  </si>
  <si>
    <t>44832000-1 Розчинники (розчинник акриловий 5л. Sotro)</t>
  </si>
  <si>
    <t>44898207</t>
  </si>
  <si>
    <t>44910000-2 Будівельний камінь (44912400-0 Бордюрний камінь (Бордюр тротуарний з пакуванням)</t>
  </si>
  <si>
    <t>44912400-0 Бордюрний камінь</t>
  </si>
  <si>
    <t>44912400-0 Бордюрний камінь (Бордюр тротуарний з пакуванням)</t>
  </si>
  <si>
    <t>44920000-5 Вапняк, гіпс і крейда</t>
  </si>
  <si>
    <t xml:space="preserve">44920000-5 Вапняк, гіпс і крейда (44921200-4 Вапно (Вапно) </t>
  </si>
  <si>
    <t>44920000-5 Вапняк, гіпс і крейда (Паста вапняна)</t>
  </si>
  <si>
    <t>44921200-4 Вапно</t>
  </si>
  <si>
    <t xml:space="preserve">44921200-4 Вапно (Вапно) </t>
  </si>
  <si>
    <t>45124730</t>
  </si>
  <si>
    <t>45192769</t>
  </si>
  <si>
    <t>45210000-2 Будівництво будівель (45213300-6 Будівництво об’єктів транспортної інфраструктури (Нове будівництво станції тимчасової стоянки та зарядки міського електротранспорту КП ММР «Миколаївелектротранс» по вул. Айвазовського ріг пр. Корабелів в м. Миколаєві)</t>
  </si>
  <si>
    <t>45213300-6 Будівництво об’єктів транспортної інфраструктури</t>
  </si>
  <si>
    <t>45216962</t>
  </si>
  <si>
    <t>45230000-8 Будівництво трубопроводів, ліній зв’язку та електропередач, шосе, доріг, аеродромів і залізничних доріг; вирівнювання поверхонь</t>
  </si>
  <si>
    <t>45230000-8 Будівництво трубопроводів, ліній зв’язку та електропередач, шосе, доріг, аеродромів і залізничних доріг; вирівнювання поверхонь (45232000-2 Допоміжні роботи з прокладання трубопроводів і кабелів ( прокол під дорогою, копка котлована),</t>
  </si>
  <si>
    <t>45230000-8 Будівництво трубопроводів, ліній зв’язку та електропередач, шосе, доріг, аеродромів і залізничних доріг; вирівнювання поверхонь (45233222-1 Брукування та асфальтування (Поточний ремонт з відновлення асфальтобетонних покриттів вздовж трамвайної колії та прилеглої до неї території після проведення поточних ремонтів у м. Миколаєві)</t>
  </si>
  <si>
    <t>45230000-8 Будівництво трубопроводів, ліній зв’язку та електропередач, шосе, доріг, аеродромів і залізничних доріг; вирівнювання поверхонь (45233222-1 Брукування та асфальтування (послуги з поточного ремонту асфальтобетонного покриття вздовж трамвайної колії та прилеглої території по вул. Потьомкінська від вул. Декабристів до вул. Пушкінська у м. Миколаєві)</t>
  </si>
  <si>
    <t>45230000-8 Будівництво трубопроводів, ліній зв’язку та електропередач, шосе, доріг, аеродромів і залізничних доріг; вирівнювання поверхонь (45233222-1 Брукування та асфальтування (послуги з поточного ремонту з облаштування швів примикання між рейками та плиткою ФЕМ асфальтобетоном в обидва напрямки по вул. Потьомкінська від вул. Декабристів до вул. Лягіна та від вул. М. Морська до вул. Громадянська в м. Мколаєві)</t>
  </si>
  <si>
    <t>45230000-8 Будівництво трубопроводів, ліній зв’язку та електропередач, шосе, доріг, аеродромів і залізничних доріг; вирівнювання поверхонь (45233222-1 Брукування та асфальтування (послуги з поточного ремонту з облаштування швів примикання між рейками та плиткою ФЕМ струменевим методом в обидва напрямки по вул. Потьомкінська від вул. Мала Морська до вул. Лягіна у м. Миколаєві)</t>
  </si>
  <si>
    <t>45230000-8 Будівництво трубопроводів, ліній зв’язку та електропередач, шосе, доріг, аеродромів і залізничних доріг; вирівнювання поверхонь (45233222-1 Брукування та асфальтування (поточний ремонт з облаштування швів примикання між рейками  струменевим методом в обидва напрямки по вул.Даля від вул.Ігоря Бедзая до вул.Даля,12)</t>
  </si>
  <si>
    <t xml:space="preserve">45230000-8 Будівництво трубопроводів, ліній зв’язку та електропередач, шосе, доріг, аеродромів і залізничних доріг; вирівнювання поверхонь (45233222-1 Брукування та асфальтування (поточний ремонт з облаштування швів примикання між рейками та брукуванням струменевим методом в обидва напрямки по вул. 1 Воєнна перехрестя з вул. Столярна та вул. Колодязна в м. Миколаєві) </t>
  </si>
  <si>
    <t>45230000-8 Будівництво трубопроводів, ліній зв’язку та електропередач, шосе, доріг, аеродромів і залізничних доріг; вирівнювання поверхонь (45233222-1 Брукування та асфальтування (поточний ремонт з облаштування швів примикання між рейками та плиткою ФЕМ струменевим методом в обидва напрямки по вул. Потьомкінська від вул. Садова до вул. Громадянська у м. Миколаєві)</t>
  </si>
  <si>
    <t>45232000-2 Допоміжні роботи з прокладання трубопроводів і кабелів</t>
  </si>
  <si>
    <t>45233222-1 Брукування та асфальтування</t>
  </si>
  <si>
    <t>45233222-1 Брукування та асфальтування (поточний ремонт з облаштування швів примикання між рейками  струменевим методом в обидва напрямки по вул.Даля від вул.Ігоря Бедзая до вул.Даля,12)</t>
  </si>
  <si>
    <t>45247545</t>
  </si>
  <si>
    <t>45250000-4 Будівництво заводів / установок, гірничодобувних і переробних об’єктів та об’єктів нафтогазової інфраструктури (45259200-9 Ремонт і технічне обслуговування водоочисних станцій) ( Ремонт і технічне обслуговування водоочисних станцій)</t>
  </si>
  <si>
    <t>45259200-9 Ремонт і технічне обслуговування водоочисних станцій</t>
  </si>
  <si>
    <t>45259200-9 Ремонт і технічне обслуговування водоочисних станцій) ( Ремонт і технічне обслуговування водоочисних станцій)</t>
  </si>
  <si>
    <t>4536261f8ba64ad5ba90d7b48e3ad1f8</t>
  </si>
  <si>
    <t>45440000-3 - Фарбування та скління (45441000-0 - Скління (послуги виготовлення кватирок із алюмінієвого профілю з ущільнювачем, фурнітурою та монтуванням скла)</t>
  </si>
  <si>
    <t>45441000-0 Скління</t>
  </si>
  <si>
    <t>45450000-6 Інші завершальні будівельні роботи</t>
  </si>
  <si>
    <t>45450000-6 Інші завершальні будівельні роботи (поточний   ремонт  з  благоустрою   трамвайного   полотна та прилеглої до нього території після проведення поточного ремонту    у двох    напрямках у м. Миколаїв, вул. Потьомкінська від вул. 3-я Слобідська до вул. 1-а Воєнна)</t>
  </si>
  <si>
    <t>4549299/БО_2024</t>
  </si>
  <si>
    <t>45497034</t>
  </si>
  <si>
    <t>4588</t>
  </si>
  <si>
    <t>46</t>
  </si>
  <si>
    <t>46d7c76892904b919700192ad9479153</t>
  </si>
  <si>
    <t>47</t>
  </si>
  <si>
    <t>470b13398309415b85051b843f73da36</t>
  </si>
  <si>
    <t>480</t>
  </si>
  <si>
    <t>481</t>
  </si>
  <si>
    <t>48310000-4 Пакети програмного забезпечення для створення документів</t>
  </si>
  <si>
    <t>48310000-4 Пакети програмного забезпечення для створення документів (Послуги онлайн-сервісу програмного забезпечення "Система електронного документообігу "АСКОД")</t>
  </si>
  <si>
    <t>483b21663f48432897e39e03614d885a</t>
  </si>
  <si>
    <t>485</t>
  </si>
  <si>
    <t>487</t>
  </si>
  <si>
    <t>48760000-3 Пакети програмного забезпечення для захисту від вірусів</t>
  </si>
  <si>
    <t>48760000-3 Пакети програмного забезпечення для захисту від вірусів (48761000-0 Пакети антивірусного програмного забезпечення (Програмна продукція "ESET PROTECT Entry (D)</t>
  </si>
  <si>
    <t>48761000-0 Пакети антивірусного програмного забезпечення (Програмна продукція "ESET PROTECT Entry (D)</t>
  </si>
  <si>
    <t>488</t>
  </si>
  <si>
    <t>48b51955629d4c95a42a365c5732cbc6</t>
  </si>
  <si>
    <t>48cdf69fedda4d74bbb87ae7edd4f256</t>
  </si>
  <si>
    <t>49</t>
  </si>
  <si>
    <t>490</t>
  </si>
  <si>
    <t>491</t>
  </si>
  <si>
    <t>492</t>
  </si>
  <si>
    <t>493</t>
  </si>
  <si>
    <t>494</t>
  </si>
  <si>
    <t>495</t>
  </si>
  <si>
    <t>496186d1e1484161a9b8a2263176a4ae</t>
  </si>
  <si>
    <t>496251df484c47368fe4e5bf5383ce47</t>
  </si>
  <si>
    <t>497</t>
  </si>
  <si>
    <t>498</t>
  </si>
  <si>
    <t>4a2ced6e330a46a1940e8dd4f2c7c2e8</t>
  </si>
  <si>
    <t>4b990e87d88240baa91087970d298be1</t>
  </si>
  <si>
    <t>4f48913a9a8c42c2a066a9033eea6fc7</t>
  </si>
  <si>
    <t>4f9936798fc84714a73fadb96e2ec9e9</t>
  </si>
  <si>
    <t>50</t>
  </si>
  <si>
    <t>50110000-9 Послуги з ремонту і технічного обслуговування мототранспортних засобів і супутнього обладнання (50112000-3 Послуги з ремонту і технічного обслуговування автомобілів  (Послуги з ремонту і технічного обслуговування службового автомобіля)</t>
  </si>
  <si>
    <t>50110000-9 Послуги з ремонту і технічного обслуговування мототранспортних засобів і супутнього обладнання (50112000-3 Послуги з ремонту і технічного обслуговування автомобілів (Послуги з ремонту і технічного обслуговування службового автомобіля)</t>
  </si>
  <si>
    <t>50112000-3 Послуги з ремонту і технічного обслуговування автомобілів</t>
  </si>
  <si>
    <t>50112000-3 Послуги з ремонту і технічного обслуговування автомобілів  (Послуги з ремонту і технічного обслуговування службового автомобіля)</t>
  </si>
  <si>
    <t>50112000-3 Послуги з ремонту і технічного обслуговування автомобілів (Послуги з ремонту і технічного обслуговування службового автомобіля)</t>
  </si>
  <si>
    <t>503</t>
  </si>
  <si>
    <t>50310000-1 - Технічне обслуговування і ремонт офісної техніки (послуги сервісного обслуговування РРО)</t>
  </si>
  <si>
    <t>50310000-1 Технічне обслуговування і ремонт офісної техніки</t>
  </si>
  <si>
    <t>50310000-1 Технічне обслуговування і ремонт офісної техніки (Послуги сервісного обслуговування РРО)</t>
  </si>
  <si>
    <t>50310000-1 Технічне обслуговування і ремонт офісної техніки (Щомісячне технічне обслуговування та ремонт лічильників банкнот, лічильників монет)</t>
  </si>
  <si>
    <t xml:space="preserve">50310000-1- Технічне обслуговування і ремонт офісної техніки (заправка картриджів, відновлення картриджів, технічне обслуговування та ремонт струнних принтерів, технічне обслуговування та ремонт лазерних принтерів, технічне обслуговування та ремонт БФП А4, технічне обслуговування та ремонт БФП АЗ), </t>
  </si>
  <si>
    <t>50340000-0 Послуги з ремонту і технічного обслуговування аудіовізуального та оптичного обладнання</t>
  </si>
  <si>
    <t>50340000-0 Послуги з ремонту і технічного обслуговування аудіовізуального та оптичного обладнання( Встановлення,монтаж,демонтаж та обслуговування систем відеоспостереження в сховищах цивільного захисту на зупинках громадського транспорту)</t>
  </si>
  <si>
    <t>50410000-2 - Послуги з ремонту і технічного обслуговування вимірювальних, випробувальних і контрольних приладів (50413200-5 - Послуги з ремонту і технічного обслуговування протипожежного обладнання (послуги з обслуговування та перезарядки вогнегасників)</t>
  </si>
  <si>
    <t>50410000-2 - Послуги з ремонту і технічного обслуговування вимірювальних, випробувальних і контрольних приладів (посоуги з технічного огляду балонів)</t>
  </si>
  <si>
    <t>50410000-2 Послуги з ремонту і технічного обслуговування вимірювальних, випробувальних і контрольних приладів</t>
  </si>
  <si>
    <t>50410000-2 Послуги з ремонту і технічного обслуговування вимірювальних, випробувальних і контрольних приладів (вимірювання з визначення метрологічних характеристик з наданням сертифіката про перевіряння метрологічних характеристик амперметрів, вольтметрів, ватметрів постійного та змінного струму та самописних однограничних)</t>
  </si>
  <si>
    <t>50413200-5 - Послуги з ремонту і технічного обслуговування протипожежного обладнання (послуги з обслуговування та перезарядки вогнегасників)</t>
  </si>
  <si>
    <t>50413200-5 Послуги з ремонту і технічного обслуговування протипожежного обладнання</t>
  </si>
  <si>
    <t>5053000-9 Послуги з ремонту і технічного обслуговування техніки (виготовлення шестерні, бронзового вінця, валу)</t>
  </si>
  <si>
    <t>50530000-9 - Послуги з ремонту і технічного обслуговування техніки (50532000-3 - Послуги з ремонту і технічного обслуговування електричної техніки, апаратури та супутнього обладнання (послуги з ремонту дрилі Bosch Professional GBM 50-2)</t>
  </si>
  <si>
    <t>50530000-9 - Послуги з ремонту і технічного обслуговування техніки (діагностування та ремонт субблоків: Р-32, Р-26, КС 31.51)</t>
  </si>
  <si>
    <t>50530000-9 Послуги з ремонту і технічного обслуговування техніки</t>
  </si>
  <si>
    <t>50530000-9 Послуги з ремонту і технічного обслуговування техніки (50532000-3 Послуги з ремонту і технічного обслуговування електричної техніки, апаратури та супутнього обладнання (Ремонт зварювального апарату)</t>
  </si>
  <si>
    <t>50530000-9 Послуги з ремонту і технічного обслуговування техніки (Діагностування та ремонт субблоків: Р-32, Р-26, КС 31.51)</t>
  </si>
  <si>
    <t>50532000-3 Послуги з ремонту і технічного обслуговування електричної техніки, апаратури та супутнього обладнання</t>
  </si>
  <si>
    <t>50730000-1 Послуги з ремонту і технічного обслуговування охолоджувальних установок</t>
  </si>
  <si>
    <t>50730000-1 Послуги з ремонту і технічного обслуговування охолоджувальних установок (технічне обслуговування кондиціонерів)</t>
  </si>
  <si>
    <t>509</t>
  </si>
  <si>
    <t>50aee51a4f79425595ea825ed8411555</t>
  </si>
  <si>
    <t>50ec9e909a8f4e9e95f50b1055f1bc66</t>
  </si>
  <si>
    <t>51</t>
  </si>
  <si>
    <t>510</t>
  </si>
  <si>
    <t>511</t>
  </si>
  <si>
    <t>512</t>
  </si>
  <si>
    <t>513</t>
  </si>
  <si>
    <t>514</t>
  </si>
  <si>
    <t>515</t>
  </si>
  <si>
    <t>51537de53d334eaa97cc3a67995a2aac</t>
  </si>
  <si>
    <t>517</t>
  </si>
  <si>
    <t>51917125a19f4e7e9eaefea5db0a9f74</t>
  </si>
  <si>
    <t>51bae6fc6ef54762a651577653a88d10</t>
  </si>
  <si>
    <t>52</t>
  </si>
  <si>
    <t>520</t>
  </si>
  <si>
    <t>523</t>
  </si>
  <si>
    <t>524</t>
  </si>
  <si>
    <t>528</t>
  </si>
  <si>
    <t>528f583c7be04b5ebc2ab6efd83eed77</t>
  </si>
  <si>
    <t>529</t>
  </si>
  <si>
    <t>53</t>
  </si>
  <si>
    <t>530</t>
  </si>
  <si>
    <t>531</t>
  </si>
  <si>
    <t>532</t>
  </si>
  <si>
    <t>535</t>
  </si>
  <si>
    <t>537</t>
  </si>
  <si>
    <t>538</t>
  </si>
  <si>
    <t>539</t>
  </si>
  <si>
    <t>540</t>
  </si>
  <si>
    <t>543</t>
  </si>
  <si>
    <t>544a490c5d734d11b8785054452305cb</t>
  </si>
  <si>
    <t>545</t>
  </si>
  <si>
    <t>546</t>
  </si>
  <si>
    <t>54613d22c30f498fa13f07ac9b7924d0</t>
  </si>
  <si>
    <t>54ab06a323744e9485483b068be6f242</t>
  </si>
  <si>
    <t>554</t>
  </si>
  <si>
    <t>554196dcf8a346c5b8b3dabe9da30a31</t>
  </si>
  <si>
    <t>555</t>
  </si>
  <si>
    <t>55d9ddeefe4440548c1855c697f4b107</t>
  </si>
  <si>
    <t>561</t>
  </si>
  <si>
    <t>562</t>
  </si>
  <si>
    <t>56226355c416427ea4dcba6c6cde3713</t>
  </si>
  <si>
    <t>563</t>
  </si>
  <si>
    <t>565</t>
  </si>
  <si>
    <t>567</t>
  </si>
  <si>
    <t>568</t>
  </si>
  <si>
    <t>569</t>
  </si>
  <si>
    <t>5770da61d5554e26a932af3e09af452d</t>
  </si>
  <si>
    <t>57bc72713a51455c9c8b4f92856f8fb0</t>
  </si>
  <si>
    <t>583703fa40964da2abcdb0ebdd621ead</t>
  </si>
  <si>
    <t>59</t>
  </si>
  <si>
    <t>5925d401464443fbb180eeb301982846</t>
  </si>
  <si>
    <t>5a50742432b44392adbf25f6e3df14ac</t>
  </si>
  <si>
    <t>5a629522287040e3ad964e5befc97953</t>
  </si>
  <si>
    <t>5aa59e7537434fd3b2c4c44556b8f965</t>
  </si>
  <si>
    <t>5bd0864b342d4b06992364d7dab6f0b7</t>
  </si>
  <si>
    <t>5cb058ef1fa443e6933a2d4d881a7b5f</t>
  </si>
  <si>
    <t>5d833c42d2a647c09e3ea3983c2942dd</t>
  </si>
  <si>
    <t>5e14969d1b264b7987cb4873403d270e</t>
  </si>
  <si>
    <t>5eabfcc91a6d400e92cbae8e51d48ec8</t>
  </si>
  <si>
    <t>5edfbe5d0ad74e289ea3e1c4f9f773ed</t>
  </si>
  <si>
    <t>5fed77edab3e48c6a94975d1929f0607</t>
  </si>
  <si>
    <t>60-0024</t>
  </si>
  <si>
    <t>601</t>
  </si>
  <si>
    <t>6019ae2c802249dbad17ddaee71cd134</t>
  </si>
  <si>
    <t>607</t>
  </si>
  <si>
    <t>608</t>
  </si>
  <si>
    <t>608/24/МУ</t>
  </si>
  <si>
    <t>609</t>
  </si>
  <si>
    <t>60e5f53c390645b3a955e56c0cdfab8c</t>
  </si>
  <si>
    <t>610</t>
  </si>
  <si>
    <t>611c76cc24644681902425d249f73646</t>
  </si>
  <si>
    <t>612</t>
  </si>
  <si>
    <t>613</t>
  </si>
  <si>
    <t>614</t>
  </si>
  <si>
    <t>615</t>
  </si>
  <si>
    <t>616d94d3637f45b6861ebb88db9d910e</t>
  </si>
  <si>
    <t>618</t>
  </si>
  <si>
    <t>6187eca58e68479f8b57221db5e3e3bd</t>
  </si>
  <si>
    <t>619</t>
  </si>
  <si>
    <t>62</t>
  </si>
  <si>
    <t>620</t>
  </si>
  <si>
    <t>621</t>
  </si>
  <si>
    <t>622</t>
  </si>
  <si>
    <t>623</t>
  </si>
  <si>
    <t>625</t>
  </si>
  <si>
    <t>627</t>
  </si>
  <si>
    <t>629</t>
  </si>
  <si>
    <t>630</t>
  </si>
  <si>
    <t>632</t>
  </si>
  <si>
    <t>633</t>
  </si>
  <si>
    <t>635</t>
  </si>
  <si>
    <t>63520000-0 Послуги транспортних агентств  (63521000-7 Послуги агентств вантажних перевезень  (перевезення будівельних матеріалів)</t>
  </si>
  <si>
    <t>63521000-7 Послуги агентств вантажних перевезень</t>
  </si>
  <si>
    <t>63521000-7 Послуги агентств вантажних перевезень  (перевезення будівельних матеріалів)</t>
  </si>
  <si>
    <t>63710000-9 Послуги з обслуговування наземних видів транспорту</t>
  </si>
  <si>
    <t>63710000-9 Послуги з обслуговування наземних видів транспорту (послуги зі встановлення скла на тролейбус Дніпро Т203)</t>
  </si>
  <si>
    <t>638</t>
  </si>
  <si>
    <t>640</t>
  </si>
  <si>
    <t>641</t>
  </si>
  <si>
    <t>64210000-1 Послуги телефонного зв’язку та передачі даних</t>
  </si>
  <si>
    <t>64210000-1 Послуги телефонного зв’язку та передачі даних (64211000-8 Послуги громадського телефонного зв’язку (телекомунікаційні послуги бізнес-мережі)</t>
  </si>
  <si>
    <t>64210000-1 Послуги телефонного зв’язку та передачі даних (64212000-5 Послуги мобільного телефонного зв’язку (Послуги мобільного зв’язку 145 абонентських номерів )</t>
  </si>
  <si>
    <t>64210000-1 Послуги телефонного зв’язку та передачі даних (64212000-5 Послуги мобільного телефонного зв’язку (Послуги мобільного зв’язку 26 абонентських номерів )</t>
  </si>
  <si>
    <t>64210000-1 Послуги телефонного зв’язку та передачі даних (64212000-5 Послуги мобільного телефонного зв’язку (Послуги мобільного зв’язку 3 абонентських номерів ).</t>
  </si>
  <si>
    <t>64211000-8 Послуги громадського телефонного зв’язку</t>
  </si>
  <si>
    <t>64212000-5 Послуги мобільного телефонного зв’язку</t>
  </si>
  <si>
    <t>64212000-5 Послуги мобільного телефонного зв’язку (Послуги мобільного зв’язку 145 абонентських номерів )</t>
  </si>
  <si>
    <t>64212000-5 Послуги мобільного телефонного зв’язку (Послуги мобільного зв’язку 3 абонентських номерів ).</t>
  </si>
  <si>
    <t>64220000-4 Телекомунікаційні послуги, крім послуг телефонного зв’язку і передачі даних (64228200-2 Послуги з транслювання радіопередач (Послуги з розміщення Рекламних матеріалів Замовника в ефірі Радіостанції)</t>
  </si>
  <si>
    <t>64228200-2 Послуги з транслювання радіопередач</t>
  </si>
  <si>
    <t>643afae953764ae0953e7840cc630aab</t>
  </si>
  <si>
    <t>645</t>
  </si>
  <si>
    <t>647/2023</t>
  </si>
  <si>
    <t>64da83b1ed934a13a10b1eb1d3bafed8</t>
  </si>
  <si>
    <t>65</t>
  </si>
  <si>
    <t>650</t>
  </si>
  <si>
    <t>651</t>
  </si>
  <si>
    <t>65110000-7 - Розподіл води (Послуги з централізованого водопостачання)</t>
  </si>
  <si>
    <t>65110000-7 Розподіл води</t>
  </si>
  <si>
    <t>653</t>
  </si>
  <si>
    <t>65310000-9 Розподіл електричної енергії</t>
  </si>
  <si>
    <t>65310000-9 Розподіл електричної енергії (послуги з розподілу електричної енергії)</t>
  </si>
  <si>
    <t xml:space="preserve">65310000-9 Розподіл електричної енергії (послуги з розподілу електричної енергії) </t>
  </si>
  <si>
    <t>65320000-2 Експлуатація електричних установок</t>
  </si>
  <si>
    <t>65320000-2 Експлуатація електричних установок (послуги із забезпечення перетікань реактивної електричної енергії)</t>
  </si>
  <si>
    <t>65320000-2 Експлуатація електричних установок (тимчасове приєднання до електричних мереж)</t>
  </si>
  <si>
    <t>653e4067e51f4bb1b96eca79ab961796</t>
  </si>
  <si>
    <t>653fe13742aa413eb9c66b0f3848e1fb</t>
  </si>
  <si>
    <t>654</t>
  </si>
  <si>
    <t>65d4f705a18e42e096aa419ceca29ac0</t>
  </si>
  <si>
    <t>66</t>
  </si>
  <si>
    <t>660</t>
  </si>
  <si>
    <t>66110000-4 Банківські послуги</t>
  </si>
  <si>
    <t>66110000-4 Банківські послуги (Інкасація валютних цінностей)</t>
  </si>
  <si>
    <t>66110000-4 Банківські послуги (Інкасація валютних цінностей); 66110000-4 Банківські послуги (Інкасація валютних цінностей)</t>
  </si>
  <si>
    <t>66130000-0 - Брокерські послуги та пов’язані послуги на ринках цінних паперів і товарів (66133000-1 Послуги з митного оформлення та розмитнення (послуги з розмитнення)</t>
  </si>
  <si>
    <t>66130000-0 Брокерські послуги та пов’язані послуги на ринках цінних паперів і товарів</t>
  </si>
  <si>
    <t>66510000-8 Страхові послуги</t>
  </si>
  <si>
    <t xml:space="preserve">66510000-8 Страхові послуги (66516100-1 - Послуги зі страхування цивільної відповідальності власників автомобільного транспорту (послуги з обов'язкового страхування цивільно-правової відповідальності власників наземних транспортних засобів) </t>
  </si>
  <si>
    <t xml:space="preserve">66510000-8 – Страхові послуги  (послуги з добровільного страхування цивільно-правової відповідальності власників наземних транспортних засобів (тролейбусів) </t>
  </si>
  <si>
    <t>66510000-8 – Страхові послуги (66516100-1 Послуги зі страхування цивільної відповідальності власників автомобільного транспорту (послуги з добровільного страхування цивільно-правової відповідальності власників наземних транспортних засобів (тролейбусів)</t>
  </si>
  <si>
    <t>66510000-8 – Страхові послуги (66516100-1 Послуги зі страхування цивільної відповідальності власників автомобільного транспорту (послуги з обов’язкового страхування цивільно-правової відповідальності власників наземних транспортних засобів)</t>
  </si>
  <si>
    <t xml:space="preserve">66510000-8 – Страхові послуги (66516100-1 Послуги зі страхування цивільної відповідальності власників автомобільного транспорту (послуги зі страхування цивільно-правової відповідальності власників наземних транспортних засобів (трамваїв)
</t>
  </si>
  <si>
    <t>66516100-1 Послуги зі страхування цивільної відповідальності власників автомобільного транспорту</t>
  </si>
  <si>
    <t>66516100-1 Послуги зі страхування цивільної відповідальності власників автомобільного транспорту (послуги з добровільного страхування цивільно-правової відповідальності власників наземних транспортних засобів (тролейбусів)</t>
  </si>
  <si>
    <t>66516100-1 Послуги зі страхування цивільної відповідальності власників автомобільного транспорту (послуги з обов’язкового страхування цивільно-правової відповідальності власників наземних транспортних засобів)</t>
  </si>
  <si>
    <t>66516100-1 Послуги зі страхування цивільної відповідальності власників автомобільного транспорту (послуги зі страхування цивільно-правової відповідальності власників наземних транспортних засобів (трамваїв)</t>
  </si>
  <si>
    <t>666</t>
  </si>
  <si>
    <t>667</t>
  </si>
  <si>
    <t>67</t>
  </si>
  <si>
    <t>67a320bd7cb0457298378ae60fd9f142</t>
  </si>
  <si>
    <t>68</t>
  </si>
  <si>
    <t>680fc978092d4b438c0cf4b594611396</t>
  </si>
  <si>
    <t>68c1407bcbd44aacb0192c7798370dd4</t>
  </si>
  <si>
    <t>68c378046b6e473db08a30287f6f8ddf</t>
  </si>
  <si>
    <t>69</t>
  </si>
  <si>
    <t>69619f23cfe8490d84267d05172b0613</t>
  </si>
  <si>
    <t>6b08c2f298fe49b3bd046ebb1e4291c9</t>
  </si>
  <si>
    <t>6bb998a2855a4214b7b62c2cdc6e52f3</t>
  </si>
  <si>
    <t>6c65656877e14c41b535465fc3a0aa2f</t>
  </si>
  <si>
    <t>6ca2b66868ce4b6791d5f0acb1aba27f</t>
  </si>
  <si>
    <t>6d6525f3de19408f8864b37997dc5ee9</t>
  </si>
  <si>
    <t>6d76f30c703c4c289dcdfc83e2f2bfdb</t>
  </si>
  <si>
    <t>6dcd50ca0b23400f9430057fea9c62b3</t>
  </si>
  <si>
    <t>6e22b9f3e5854c619cf95f8126b4fd4b</t>
  </si>
  <si>
    <t>6f3e5fa57f5a4c23a6eca7d802e268a6</t>
  </si>
  <si>
    <t>6febdff31f964db3b8224af2db15da44</t>
  </si>
  <si>
    <t>7</t>
  </si>
  <si>
    <t>7/3</t>
  </si>
  <si>
    <t>70</t>
  </si>
  <si>
    <t>704b295812ab4ef38fb7e371caafc751</t>
  </si>
  <si>
    <t>71</t>
  </si>
  <si>
    <t>71240000-2 - Архітектурні, інженерні та планувальні послуги (71242000-6 - Підготовка проектів та ескізів, оцінювання витрат (виконання робіт: робочий проект з вогнезахисного обробляння дерев'яних конструкцій даху будівель трамвайного депо КП ММР "Миколаївелектротранс" за адресою: м. Миколаїв, вул. Андреєва-Палагнюка, 17, а саме: Літера "В-2" Адміністративна будівля ПНЕТ, Літера "1Р-1" Будівля автогосподарства, Літера "Д-1-2" Цех ДЕПО, Літера "Г-1-2" Цех ВРМ)</t>
  </si>
  <si>
    <t>71240000-2 Архітектурні, інженерні та планувальні послуги</t>
  </si>
  <si>
    <t>71240000-2 Архітектурні, інженерні та планувальні послуги (71242000-6 - Підготовка проектів та ескізів, оцінювання витрат (виконання робіт: робочий проект "Монтаж системи автоматичної пожежної сигналізації та системи керування евакуюванням (оповіщення про пожежу і показчиків напрямку евакуювання) будівель диспетчерської, прохідної, будівлі допоміжних приміщень та будівлі головного корпусу КП ММР "Миколаївелектротранс". Коригування." за адресою: вул. Будівельників, 1, м. Миколаїв, Миколаївська область)</t>
  </si>
  <si>
    <t>71240000-2 Архітектурні, інженерні та планувальні послуги (71242000-6 - Підготовка проектів та ескізів, оцінювання витрат (виконання робіт: робочий проект з вогнесазихисного обробляння дерев'яних елементів горищних покриттів складу металу та несучих металевих конструкцій будівлі головного корпусу КП ММР "Миколаївелектротранс" за адресою: вул. Будівельників, 1, м. Миколаїв, Миколаївська область)</t>
  </si>
  <si>
    <t>71240000-2 Архітектурні, інженерні та планувальні послуги (71242000-6 - Підготовка проектів та ескізів, оцінювання витрат (розробка проектно-кошторисної документації на стадії "Робочий проект" на об'єкті: "Нове будівництво мереж електропостачання замельної ділянки за адресою: м. Миколаїв, вул. Айвазовського ріг пр. Корабелів")</t>
  </si>
  <si>
    <t>71240000-2 Архітектурні, інженерні та планувальні послуги (71242000-6 - Підготовка проектів та ескізів, оцінювання витрат (розробка проектно-кошторисної документації на стадії "Робочий проект" на об'єкті: "Нове будівництво мереж електропостачання колонок для зарядки тролейбусів за адресою: м. Миколаїв, вул. Айвазовського ріг пр. Корабелів")</t>
  </si>
  <si>
    <t>71240000-2 Архітектурні, інженерні та планувальні послуги (71247000-1 Нагляд за будівельними роботами (Надання послуг з авторського нагляду за об’єктом: поточний ремонт   з  благоустрою   трамвайного   полотна та прилеглої до нього території після проведення поточного   ремонту    у двох    напрямках    у   м. Миколаїв, вул. Потьомкінська від вул. 3-я Слобідська до вул. 1-а Воєнна)</t>
  </si>
  <si>
    <t>71240000-2 Архітектурні, інженерні та планувальні послуги (71247000-1 Нагляд за будівельними роботами (Технічний нагляд за наданням послуг по об'єкту: «Нове будівництво станції тимчасової стоянки та зарядки міського електротранспорту КП ММР "Миколаївелектротранс" по вул. Айвазовського ріг пр. Корабелів в м. Миколаєві» )</t>
  </si>
  <si>
    <t>71240000-2 Архітектурні, інженерні та планувальні послуги (71247000-1 Нагляд за будівельними роботами (Технічний нагляд за наданням послуг по об'єкту: «Поточний ремонт   з  благоустрою   трамвайного   полотна та прилеглої до нього території після проведення поточного   ремонту    у двох    напрямках    у м. Миколаїв, вул. Потьомкінська від вул. 3-я Слобідська до вул. 1-а Воєнна»)</t>
  </si>
  <si>
    <t>71240000-2 Архітектурні, інженерні та планувальні послуги (71247000-1 Нагляд за будівельними роботами (здійснення авторського нагляду по об’єкту: «Нове будівництво станції тимчасової стоянки та зарядки міського електротранспорту КП ММР "Миколаївелектротранс" по вул. Айвазовського ріг пр. Корабелів в м. Миколаєві»)</t>
  </si>
  <si>
    <t>71240000-2: Архітектурні, інженерні та планувальні послуги (71242000-
6 Підготовка проектів та ескізів, оцінювання витрат (виготовлення проектно-кошторисної документації: Робочий проект:
«Система блискавкозахисту будівель Трамвайного депо КП ММР
«МИКОЛАЇВЕЛЕКТРОТРАНС», за адресою: м. Миколаїв, вул. Андреєва-Палагнюка, 17, а саме:
Літера «1Р-1» Будівля автогосподарства, Літера «1Ф-1» Склад, Літера «1Ц-1»
Трансформаторна підстанція, Літера «А-1» Прохідна», Літера «В-2» Адміністративна будівля
ПНЕТ, Літера «Г-1-2» Цех ВРМ, Літера «Д-1-2» Цех ДЕПО, Літера «И-2» Їдальня-склад,
Літера «К-2» Центральний склад з гаражними боксами, Літера «М-1» Будівля служби колії з
побутовими приміщеннями, Літера «П-1» Майстерня ОГМ, Літера «1Д» Склад для газових
балонів»)</t>
  </si>
  <si>
    <t>71240000-2: Архітектурні, інженерні та планувальні послуги (71242000-6 Підготовка проектів та ескізів, оцінювання витрат (виготовлення проектно-кошторисної документації: Робочий проект: «Система пожежної сигналізації, система оповіщення про пожежу і покажчиків напрямку евакуювання будівель Трамвайного депо КП ММР «МИКОЛАЇВЕЛЕКТРОТРАНС», за адресою:
м. Миколаїв, вул. Андреєва-Палагнюка,17, а саме: Літера «1Р-1» Будівля автогосподарства,
Літера «1Ф-1» Склад, Літера «1Ц-1» Трансформаторна підстанція, Літера «А-1» Прохідна»,
Літера «В-2» Адміністративна будівля ПНЕТ, Літера «Г-1-2» Цех ВРМ, Літера «Д-1-2» Цех
ДЕПО, Літера «И-2» Їдальня-склад, Літера «К-2» Центральний склад з гаражними боксами,
Літера «М-1» Будівля служби колії з побутовими приміщеннями, Літера «П-1» Майстерня
ОГМ, Літера «1Д» Склад для газових балонів »)</t>
  </si>
  <si>
    <t>71240000-2: Архітектурні, інженерні та планувальні послуги (71242000-6 Підготовка проектів та ескізів, оцінювання витрат (виконання Робіт: Робочий проект: «Система блискавкозахисту будівель диспетчерської, прохідної, будівлі допоміжних приміщень та будівлі головного корпусу КП ММР «МИКОЛАЇВЕЛЕКТРОТРАНС» за адресою: вул. Будівельників, 1, м. Миколаїв, Миколаївська область»)</t>
  </si>
  <si>
    <t>71240000-2: Архітектурні, інженерні та планувальні послуги (71242000-6 Підготовка проектів та ескізів, оцінювання витрат (коригування проектно-кошторисної документації на стадії «Робочий проект» на об’єкті: "Нове будівництво мереж електропостачання земельної ділянки за адресою: м. Миколаїв, вул. Айвазовського ріг пр. Корабелів. (Коригування)</t>
  </si>
  <si>
    <t>71242000-6 Підготовка проектів та ескізів, оцінювання витрат</t>
  </si>
  <si>
    <t>71247000-1 Нагляд за будівельними роботами</t>
  </si>
  <si>
    <t>71250000-5 Архітектурні, інженерні та геодезичні послуги</t>
  </si>
  <si>
    <t>71250000-5 – Архітектурні, інженерні та геодезичні послуги (проектно-вишукувальні  послуги з розроблення проекту землеустрою щодо відведення земельної ділянки з метою передачі в постійне користування, з цільовим призначенням згідно з класифікатором видів цільового призначення земельних ділянок: 12.07 – для розміщення та експлуатації будівель і споруд міського електротранспорту по вул. Айвазовського ріг пр. Корабелів в Корабельному районі  м. Миколаєва)</t>
  </si>
  <si>
    <t>71310000-4 - Консультаційні послуги у галузях інженерії та будівництва (71319000-7 - Експертні послуги (супровід проходження експеризи робочого проекту: "Система блискавкозахисту будівель диспетчерської, прохідної, будівлі допоміжних приміщень та будівлі головного корпусу КП ММР "Миколаївелектротранс" за адресою: вул. Будівельників, 1, м. Миколаїв, Миколаївська область")</t>
  </si>
  <si>
    <t>71310000-4 - Консультаційні послуги у галузях інженерії та будівництва (послуги зі супроводу проходження експертизи робочого проекту з вогнезахисного обробляння дерев'яних елементів перекриття складу металу, дерев'яних елементів горищних поериттів складу металу та несучих металевих конструкцій будівлі головного корпусу КП ММР "Миколаївелектротранс" за адресою: вул. Будівельників, 1, м. Миколаїв)</t>
  </si>
  <si>
    <t>71310000-4 - Консультаційні послуги у галузях інженерії та будівництва (послуги зі супроводу проходження експертизи робочого проекту з вогнезахисного обробляння дерев'яних конструкцій даху будівель Трамвайного депо КП ММР "Миколаївелектротранс" за адресою: вул. Андреєва-Палагнюка, 17, а саме: Літера "В-2" Адміністративна будівля ПНЕТ, Літера "1Р-1" Будівля автогосподарства, Літера "Д-1-2" Цех ДЕПО, Літера "Г-1-2" Цех ВРМ)</t>
  </si>
  <si>
    <t>71310000-4 Консультаційні послуги у галузях інженерії та будівництва</t>
  </si>
  <si>
    <t>71310000-4 Консультаційні послуги у галузях інженерії та будівництва (71319000-7 - Експертні послуги (супровід проходження експертизи робочого проекту "Система близкавкозахисту будівель Трамвайного депо КП ММР «МИКОЛАЇВЕЛЕКТРОТРАНС», за адресою: м. Миколаїв, вул. Андреєва-Палагнюка,17, а саме: Літера «1Р-1» Будівля автогосподарства, Літера «1Ф-1» Склад, Літера «1Ц-1» Трансформаторна підстанція, Літера «А-1» Прохідна», Літера «В-2» Адміністративна будівля ПНЕТ, Літера «Г-1-2» Цех ВРМ, Літера «Д-1-2» Цех ДЕПО, Літера «И-2» Їдальня-склад, Літера «К-2» Центральний склад з гаражними боксами, Літера «М-1» Будівля служби колії з побутовими приміщеннями, Літера «П-1» Майстерня ОГМ, Літера «1Д» Склад для газових балонів »)</t>
  </si>
  <si>
    <t>71310000-4 Консультаційні послуги у галузях інженерії та будівництва (71319000-7 - Експертні послуги (супровід проходження експертизи робочого проекту "Система пожежної сигналізації, система оповіщення про пожежу і покажчиків напрямку евакуювання будівель Трамвайного депо КП ММР «МИКОЛАЇВЕЛЕКТРОТРАНС», за адресою: м. Миколаїв, вул. Андреєва-Палагнюка,17, а саме: Літера «1Р-1» Будівля автогосподарства, Літера «1Ф-1» Склад, Літера «1Ц-1» Трансформаторна підстанція, Літера «А-1» Прохідна», Літера «В-2» Адміністративна будівля ПНЕТ, Літера «Г-1-2» Цех ВРМ, Літера «Д-1-2» Цех ДЕПО, Літера «И-2» Їдальня-склад, Літера «К-2» Центральний склад з гаражними боксами, Літера «М-1» Будівля служби колії з побутовими приміщеннями, Літера «П-1» Майстерня ОГМ, Літера «1Д» Склад для газових балонів »)</t>
  </si>
  <si>
    <t>71310000-4 Консультаційні послуги у галузях інженерії та будівництва (71319000-7 - Експертні послуги (супровід проходження експертизи робочого проекту: "Монтаж системи автоматичнрї пожежної сигналізації та системи керування евакуюванням (оповіщення про пожежу і показчиків напрямку евакуювання) будівель диспетчерської, прохідної, будівлі допоміжних приміщень та будівлі головного корпусу КП ММР "Миколаївелектротранс". Коригування." за адресою: вул. Будівельників, 1, м. Миколаїв, Миколаїська область)</t>
  </si>
  <si>
    <t>71319000-7 Експертні послуги</t>
  </si>
  <si>
    <t>71320000-7 Послуги з інженерного проектування</t>
  </si>
  <si>
    <t>71320000-7 Послуги з інженерного проектування (71322000-1 Послуги з інженерного проектування в галузі цивільного будівництва (виготовлення  проектно-кошторисної документації по об’єкту: «Нове будівництво тролейбусної лінії по просп. Богоявленському від вул. Авангардної до зупинки «вул. Старофортечна» у м. Миколаєві» та виконання функції замовника експертизи робочого проекту)</t>
  </si>
  <si>
    <t>71320000-7 Послуги з інженерного проектування (71322000-1 Послуги з інженерного проектування в галузі цивільного будівництва (виконання робіт з виготовлення  проектно-кошторисної документації  по об’єкту: «Нове будівництво станції тимчасової стоянки та зарядки міського електротранспорту КП ММР "Миколаївелектротранс" по вул. Айвазовського ріг пр. Корабелів в м. Миколаєві» та виконання функції замовника експертизи робочого проекту)</t>
  </si>
  <si>
    <t>71320000-7 Послуги з інженерного проектування (виготовлення проектно-кошторисної документації по об'єкту: "Благоустрій трамвайного полотна та прилеглої до нього території після проведення поточного ремонту у двох напрямках за адресою: м. Миколаїв, вул. Потьомкінська від вул. 3-й Слобідська до вул. 1-а Воєнна" та виконання функції замовника експертизи робочого проекту)</t>
  </si>
  <si>
    <t>71320000-7 Послуги з інженерного проектування (виконання робіт з виготовлення  проектно-кошторисної документації по об’єкту: «Зовнішні мережі водопостачання і водовідведення станції тимчасової стоянки та зарядки міського електротранспорту КП  ММР «Миколаївелектротранс» по вул. Айвазовського ріг просп. Корабелів в м. Миколаєві» та виконання функції замовника експертизи(експертної оцінки) робочого проекту)</t>
  </si>
  <si>
    <t>71322000-1 Послуги з інженерного проектування в галузі цивільного будівництва</t>
  </si>
  <si>
    <t xml:space="preserve">71350000-6 Науково-технічні
послуги в галузі інженерії (71355000-1 Геодезичні послуги (надання послуг по об’єкту: Комплексні інженерно-геодезичні вишукування забудованої території по об'єкту: "Прокладання кабелю заживлення до контактної мережі від ТП-2 до проспекту Богоявленського" у м.Миколаєві)
</t>
  </si>
  <si>
    <t>71350000-6 Науково-технічні послуги в галузі інженерії</t>
  </si>
  <si>
    <t xml:space="preserve">71350000-6 Науково-технічні послуги в галузі інженерії (71355000-1 Геодезичні послуги (Комплексні інженерно-геодезичні вишукування забудованої території по об'єкту: "Нове будівництво мереж електропостачання земельної ділянки за адресою: м. Миколаїв, вул. Айвазовського ріг пр. Корабелів")
</t>
  </si>
  <si>
    <t xml:space="preserve">71350000-6 Науково-технічні послуги в галузі інженерії (71355000-1 Геодезичні послуги ) (Комплексні інженерно-геодезичні вишукування забудованої території по об'єкту: "Кінцева зупинка з диспетчерським пунктом по вул. Айвазовського ріг пр. Корабелів в Корабельному районі м. Миколаєва" та Схема розміщення території по об'єкту: "Кінцева зупинка з диспетчерським пунктом по вул. Айвазовського ріг пр. Корабелів в Корабельному районі м. Миколаєва")
</t>
  </si>
  <si>
    <t>71350000-6 Науково-технічні послуги в галузі інженерії (71355000-1 Геодезичні послуги ) по об’єкту:  Комплексні інженерно-геодезичні вишукування забудованої території, з чітким визначенням радіусу повороту трамвайної коліїї, ділянки по вул. 1-ша Військова - вул. Потьомкінська у м. Миколаєві.</t>
  </si>
  <si>
    <t>71350000-6 Науково-технічні послуги в галузі інженерії (71355000-1 Геодезичні послуги)  по об’єкту: Комплексні інженерно-геодезичні вишукування забудованої території, з чітким визначенням радіусу повороту трамвайної коліїї, ділянки по вул. Чкалова - просп. Богоявленський у м. Миколаєві.</t>
  </si>
  <si>
    <t>71350000-6 Науково-технічні послуги в галузі інженерії (перевіряння проекту ТУ У 29.1-03328468-001:2024, внесення ТУ до Головного фонду ТУ та Бази даних "Технічні умови України")</t>
  </si>
  <si>
    <t>71355000-1 Геодезичні послуги</t>
  </si>
  <si>
    <t>71355000-1 Геодезичні послуги ) по об’єкту:  Комплексні інженерно-геодезичні вишукування забудованої території, з чітким визначенням радіусу повороту трамвайної коліїї, ділянки по вул. 1-ша Військова - вул. Потьомкінська у м. Миколаєві.</t>
  </si>
  <si>
    <t>71355000-1 Геодезичні послуги по об’єкту: Комплексні інженерно-геодезичні вишукування забудованої території, з чітким визначенням радіусу повороту трамвайної коліїї, ділянки по вул. Чкалова - просп. Богоявленський у м. Миколаєві.</t>
  </si>
  <si>
    <t>715/2024</t>
  </si>
  <si>
    <t>71520000-9 Послуги з нагляду за виконанням будівельних робіт</t>
  </si>
  <si>
    <t>71520000-9 Послуги з нагляду за виконанням будівельних робіт (Технічний нагляд за будівництвом об'єкту: «Поточний ремонт по заміні рейко-шпальної решітки на дільниці по вул. Потьомкінська від вул. 1-а Воєнна до вул. 3-я Слобідська)</t>
  </si>
  <si>
    <t>71520000-9 Послуги з нагляду за виконанням будівельних робіт (Технічний нагляд за будівництвом об'єкту: «Поточний ремонт по заміні рейко-шпальної решітки на дільниці по вул. Потьомкінська від вул. Садова до вул. 3я Слобідська»</t>
  </si>
  <si>
    <t>71630000-3 - Послуги з технічного огляду та випробовувань (71631000-0 - Послуги з технічного огляду (повірка вимірювальної техніки)</t>
  </si>
  <si>
    <t>71630000-3 - Послуги з технічного огляду та випробовувань (вимірювання з визначення метрологічних характеристик з наданням серттфіката про перевіряння метрологічних характеристик секундомерів-таймерів)</t>
  </si>
  <si>
    <t xml:space="preserve">71630000-3 - Послуги з технічного огляду та випробовувань (повірка термометрів скляних) </t>
  </si>
  <si>
    <t>71630000-3 Послуги з технічного огляду та випробовувань</t>
  </si>
  <si>
    <t>71630000-3 Послуги з технічного огляду та випробовувань (71631000-0 - Послуги з технічного огляду (вимірювання з визначення метрологічних характеристик з наданням сертифіката про перевіряння метрологічних характеристик лінійок вимірювальних, метрів брускових та складних (за одну шкалу усіх типів)</t>
  </si>
  <si>
    <t>71630000-3 Послуги з технічного огляду та випробовувань (71631300-3 - Послуги з технічного огляду будівель (послуги з технічного обстеження будівель літ. Ж-1, Ж-2, Е, Д тролейбусного ДЕПО № 3 КП ММР "Миколаївелектротранс")</t>
  </si>
  <si>
    <t>71630000-3 Послуги з технічного огляду та випробувань (державний технічний контроль об’єктів міського електротранспорту, що знаходиться на балансі Замовника)</t>
  </si>
  <si>
    <t>71631000-0 Послуги з технічного огляду</t>
  </si>
  <si>
    <t>71730000-4 Послуги промислового контролю</t>
  </si>
  <si>
    <t>71730000-4 Послуги промислового контролю (Послуги з атестації робочих місць за умовами праці для підтвердження права на пільги та компенсації за шкідливі та важкі умови праці)</t>
  </si>
  <si>
    <t>71900000-7 Лабораторні послуги</t>
  </si>
  <si>
    <t>71900000-7 Лабораторні послуги (проведення лаболаторних досліджень (випробувань) води питної)</t>
  </si>
  <si>
    <t>72</t>
  </si>
  <si>
    <t>72250000-2 - Послуги, пов’язані із системами та підтримкою (послуги з питань автоматизованого визначення вартості
будівельних робіт при застосуванні ПК АВК-5 "Автоматизований випуск на ПЕОМ кошторисно-ресурсної документації" на
основних та додаткових робочих місцях (для 2 робочих місць)</t>
  </si>
  <si>
    <t>72250000-2 Послуги, пов’язані із системами та підтримкою</t>
  </si>
  <si>
    <t>72260000-5 - Послуги, пов’язані з програмним забезпеченням (інформаційно-консультативні послуги з супроводження ПЗ "M.E.Doc")</t>
  </si>
  <si>
    <t>72260000-5 Послуги, пов’язані з програмним забезпеченням</t>
  </si>
  <si>
    <t>72260000-5 Послуги, пов’язані з програмним забезпеченням (доступ до порталу Радник у сфері публічних закупівель)</t>
  </si>
  <si>
    <t>72260000-5 Послуги, пов’язані з програмним забезпеченням (послуги з інформаційно-технологічного супроводу ПРОФ)</t>
  </si>
  <si>
    <t>72260000-5 Послуги, пов’язані з програмним забезпеченням (послуги онлайн-сервісу програмного забезпечення "Система електронногог документообігу АСКОД")</t>
  </si>
  <si>
    <t>72310000-1 Послуги з обробки даних (72314000-9 - Послуги зі збирання та зіставлення даних (послуги з відстеження пасажиропотоку)</t>
  </si>
  <si>
    <t>72310000-1 Послуги з обробки даних (72314000-9 Послуги зі збирання та зіставлення даних (Послуги з відстеження пасажиропотоку)</t>
  </si>
  <si>
    <t>72314000-9 Послуги зі збирання та зіставлення даних</t>
  </si>
  <si>
    <t>72320000-4 - Послуги, пов’язані з базами даних (послуги з надання доступу в режимі оналайн до електронних баз наукової та науково-технічної інформації інформаційного ресурсу Експертус Кадри за рівнем VIP)</t>
  </si>
  <si>
    <t>72320000-4 Послуги, пов’язані з базами даних</t>
  </si>
  <si>
    <t>72320000-4 Послуги, пов’язані з базами даних (Послуги з надання доступу в режимі он-лайн до електронних баз наукової та науково-технічної інформації)</t>
  </si>
  <si>
    <t>72320000-4 Послуги, пов’язані з базами даних (Послуги з надання доступу в режимі он-лайн до електронних баз наукової та науково-технічної інформації, інформаційних ресурсів)</t>
  </si>
  <si>
    <t>72320000-4 Послуги, пов’язані з базами даних (послуги з підтримання доступу до ЄДЕБО)</t>
  </si>
  <si>
    <t>72410000-7 - Послуги провайдерів (послуги з доступу до глобальної помп'ютерної мережі Internet та надання послуг перегляду телеканалів у цифровій якості, в основу якого покладене використання обладнання та компьютерної мережі Оператора)</t>
  </si>
  <si>
    <t>72410000-7 Послуги провайдерів</t>
  </si>
  <si>
    <t>72600cbb46434586bca59b5ec93931b9</t>
  </si>
  <si>
    <t>72918599281e4eb1af5c5e79d2497947</t>
  </si>
  <si>
    <t>73</t>
  </si>
  <si>
    <t>73110000-6 Дослідницькі послуги</t>
  </si>
  <si>
    <t>73110000-6 Дослідницькі послуги (73111000-3 Послуги дослідних лабораторій (випробування дослідного зразка переобладнаного тролейбуса типу ЛАЗ Е 183 D1-01)</t>
  </si>
  <si>
    <t>73111000-3 Послуги дослідних лабораторій (випробування дослідного зразка переобладнаного тролейбуса типу ЛАЗ Е 183 D1-01)</t>
  </si>
  <si>
    <t>75240000-0 - Послуги із забезпечення громадської безпеки, охорони правопорядку та громадського порядку (Послуги із забезпечення громадської безпеки, охорони правопорядку та громадського порядку шляхом обслуговування і спостереження за системою сигналіації та виїзду рухомого наряду поліції охорони на об'єкт)</t>
  </si>
  <si>
    <t>75240000-0 Послуги із забезпечення громадської безпеки, охорони правопорядку та громадського порядку</t>
  </si>
  <si>
    <t>754e115aada3485d92e448cd54665af3</t>
  </si>
  <si>
    <t>772391700c394ec5aa66edfb544a189d</t>
  </si>
  <si>
    <t>77b98a2691684d6eb2422ca519aba87b</t>
  </si>
  <si>
    <t>78f4952ca383484bb94dcc41e6004c43</t>
  </si>
  <si>
    <t>79</t>
  </si>
  <si>
    <t>7910cf5ab3fe4db2b59e45f4f7b82beb</t>
  </si>
  <si>
    <t xml:space="preserve">79210000-9 Бухгалтерські та аудиторські послуги (79212000-3 - Аудиторські послуги (Послуги з обов’язкового аудиту повного пакету річної фінансової звітності, складеної відповідно до НП(С)БО за 2023 рік)  </t>
  </si>
  <si>
    <t xml:space="preserve">79212000-3 - Аудиторські послуги (Послуги з обов’язкового аудиту повного пакету річної фінансової звітності, складеної відповідно до НП(С)БО за 2023 рік)  </t>
  </si>
  <si>
    <t>79212000-3 Аудиторські послуги</t>
  </si>
  <si>
    <t>79340000-9 Рекламні та маркетингові послуги</t>
  </si>
  <si>
    <t>79340000-9 Рекламні та маркетингові послуги (послуги з виготовлення та поклейки наліпок на трамваї та тролейбуси)</t>
  </si>
  <si>
    <t>79620000-6 Послуги із забезпечення персоналом, у тому числі тимчасовим</t>
  </si>
  <si>
    <t>79620000-6 — Послуги із забезпечення персоналом, у тому числі тимчасовим (Послуги з розміщення та просування вакансій Замовника та інші супутні послуги на сайті Виконавця Work.ua)</t>
  </si>
  <si>
    <t>79820000-8 - Послуги, пов’язані з друком (послуга з друку наклейок на трамвай "Символіка міста Миколаєва")</t>
  </si>
  <si>
    <t>79820000-8 Послуги, пов’язані з друком</t>
  </si>
  <si>
    <t>79834c0ff2234b1bafbcecec3466bf6f</t>
  </si>
  <si>
    <t>79990000-0 Різні послуги, пов’язані з діловою сферою</t>
  </si>
  <si>
    <t>79990000-0 Різні послуги, пов’язані з діловою сферою (Послуги з оформлення документів про освіту)</t>
  </si>
  <si>
    <t>7a7983902c254b22816ad92cc70f67f7</t>
  </si>
  <si>
    <t>7aeeec995b894a178f3e284788b9f2db</t>
  </si>
  <si>
    <t>7b1aca7576af408cb3ce4c62456efea9</t>
  </si>
  <si>
    <t>7bd30e75bcf84c94af9f2b6417163295</t>
  </si>
  <si>
    <t>7c324d2f12ca42d382699d1f6882a431</t>
  </si>
  <si>
    <t>7c37378c43a34f95a0798f9938432dd5</t>
  </si>
  <si>
    <t>7ce528d5ed0e455ebe2e59961d11f840</t>
  </si>
  <si>
    <t>7d0e457da7764649884a46fd26aa26ff</t>
  </si>
  <si>
    <t>7e3756197bda49e4bda9ffb6a5ff4fe7</t>
  </si>
  <si>
    <t>7e3938c7a4d943c58a051b8e10124b95</t>
  </si>
  <si>
    <t>7e64e821144d4b01b5e0fca3edc4b237</t>
  </si>
  <si>
    <t>8/389-2024</t>
  </si>
  <si>
    <t>8/389-2024-2</t>
  </si>
  <si>
    <t>8/389-2025</t>
  </si>
  <si>
    <t>80-0021</t>
  </si>
  <si>
    <t>803718a7ecd149f7a82e22a33408b95c</t>
  </si>
  <si>
    <t>80510000-2 Послуги з професійної підготовки спеціалістів</t>
  </si>
  <si>
    <t>80510000-2 Послуги з професійної підготовки спеціалістів (навчання з питань пожежної безпеки посадових осіб підприємств,установ,організацій)</t>
  </si>
  <si>
    <t>80510000-2 Послуги з професійної підготовки спеціалістів (навчання з питань цивільного захисту)</t>
  </si>
  <si>
    <t xml:space="preserve">80510000-2 Послуги з професійної підготовки спеціалістів (освітні послуги з навчання) </t>
  </si>
  <si>
    <t>80520000-5 Навчальні засоби (80522000-9 Навчальні семінари (участь у семінарі Літній курс успішного кадровика)</t>
  </si>
  <si>
    <t>80522000-9 Навчальні семінари</t>
  </si>
  <si>
    <t>80530000-8 Послуги у сфері професійної підготовки</t>
  </si>
  <si>
    <t>80530000-8 Послуги у сфері професійної підготовки(навчання працівників)</t>
  </si>
  <si>
    <t>80570000-0 Послуги з професійної підготовки у сфері підвищення кваліфікації</t>
  </si>
  <si>
    <t>80570000-0 Послуги з професійної підготовки у сфері підвищення кваліфікації (Послуги з проведення підвищення кваліфікації спеціалістів у сфері здійсненння публічних закупівель)</t>
  </si>
  <si>
    <t>80570000-0 Послуги з професійної підготовки у сфері підвищення кваліфікації (послуги з навчання з питань організації та здійснення публічних закупівель на тему "Публічні закупівлі в умовах воєнного стану)</t>
  </si>
  <si>
    <t>81</t>
  </si>
  <si>
    <t>8143db33741346c38d9172eb518f4a53</t>
  </si>
  <si>
    <t>81766a3e2d3d4bc480677a2266314c10</t>
  </si>
  <si>
    <t>81e268edbf6d433b805fdc1c2fb5331d</t>
  </si>
  <si>
    <t>828/24/НУ</t>
  </si>
  <si>
    <t>82c02ad92f6f4aa98e1415298539e870</t>
  </si>
  <si>
    <t>84</t>
  </si>
  <si>
    <t>85</t>
  </si>
  <si>
    <t>85140000-2 Послуги у сфері охорони здоров’я різні</t>
  </si>
  <si>
    <t>85140000-2 Послуги у сфері охорони здоров’я різні (Послуги з проведення попередніх, періодичних та позачергових психіатричних оглядів, у т.ч. на предмет вживання психоактивних речовин, послуги з проведення періодичного медичного огляду щодо придатності до керування ТЗ водіїв, послуги з проведення періодичного медичного огляду працівників зі шкідливими умовами праці, послуги з проведення медичного огляду декретованої категорії населення)</t>
  </si>
  <si>
    <t>85140000-2 Послуги у сфері охорони здоров’я різні (проведення медичних оглядів)</t>
  </si>
  <si>
    <t>86</t>
  </si>
  <si>
    <t>86-Е</t>
  </si>
  <si>
    <t>8636115126174f19bbc8112c8f89c1d7</t>
  </si>
  <si>
    <t>87</t>
  </si>
  <si>
    <t>872bb174377041a39b42d4418c2fc4f9</t>
  </si>
  <si>
    <t>87e3dda87b03416f8589fb0eb39080d8</t>
  </si>
  <si>
    <t>884e0dfde03c4f38a007c9c7651af9b2</t>
  </si>
  <si>
    <t>885b7aaa8aa8430d9da3bda5320aac08</t>
  </si>
  <si>
    <t>88c5d35a8ff546d2af5c23306a58e2e9</t>
  </si>
  <si>
    <t>89</t>
  </si>
  <si>
    <t>89b412d7d932451d9934d43343712e96</t>
  </si>
  <si>
    <t>8a6519bd987c4164b2dcb920cd46b82a</t>
  </si>
  <si>
    <t>8b5f16f8708b41daa80fbaf28be4c5f6</t>
  </si>
  <si>
    <t>8b7923c5becb4eeca54d156d40ed56b0</t>
  </si>
  <si>
    <t>8d50f89eadfd46e2b75483aba74b5521</t>
  </si>
  <si>
    <t>8d594f81f1cd4a3cba352de102049c8e</t>
  </si>
  <si>
    <t>8efa90630845475cb46c7c1cbf17933d</t>
  </si>
  <si>
    <t>8fb3a27d658f45bcae20250812895d31</t>
  </si>
  <si>
    <t>8ffd75e4b1c8402cbae15b91ca3c7deb</t>
  </si>
  <si>
    <t>9-03/24</t>
  </si>
  <si>
    <t>9-24</t>
  </si>
  <si>
    <t>9/9403</t>
  </si>
  <si>
    <t>90</t>
  </si>
  <si>
    <t>90430000-0 Послуги з відведення стічних вод</t>
  </si>
  <si>
    <t>90430000-0 Послуги з відведення стічних вод (послуги з централізованого водовідведення)</t>
  </si>
  <si>
    <t>90510000-5 Утилізація сміття та поводження зі сміттям (90511200-4 Послуги зі збирання побутових відходів (послуги з поводженням з твердими, великогабаритними, ремонтними та рідкими побутовими відходами)</t>
  </si>
  <si>
    <t>90510000-5 Утилізація сміття та поводження зі сміттям (90513100-7 Послуги з утилізації побутових відходів (послуги з захоронення побутових відходів)</t>
  </si>
  <si>
    <t>90510000-5 Утилізація сміття та поводження зі сміттям (послуги з управління побутовими відходами)</t>
  </si>
  <si>
    <t>90510000-5 Утилізація/видалення сміття та поводження зі сміттям</t>
  </si>
  <si>
    <t>90511200-4 Послуги зі збирання побутових відходів</t>
  </si>
  <si>
    <t>90511200-4 Послуги зі збирання побутових відходів (послуги з поводженням з твердими, великогабаритними, ремонтними та рідкими побутовими відходами)</t>
  </si>
  <si>
    <t>90511200-4 Послуги зі збирання побутових відходів (послуги з поводженням з твердими, великогабаритними, ремонтними та рідкими побутовими відходами); 90511200-4 Послуги зі збирання побутових відходів (послуги з поводженням з твердими, великогабаритними, ремонтними та рідкими побутовими відходами); 90511200-4 Послуги зі збирання побутових відходів (послуги з поводженням з твердими, великогабаритними, ремонтними та рідкими побутовими відходами)</t>
  </si>
  <si>
    <t>90513100-7 Послуги з утилізації побутових відходів (послуги з захоронення побутових відходів)</t>
  </si>
  <si>
    <t>90513100-7 Послуги з утилізації/видалення побутових відходів</t>
  </si>
  <si>
    <t>90920000-2 - Послуги із санітарно-гігієнічної обробки приміщень (90921000-9 Послуги з дезінфікування та витравлювання (Послуги з дезінфікування та витравлювання (профілактична дезінфекція приміщень)</t>
  </si>
  <si>
    <t>90921000-9 Послуги з дезінфікування та витравлювання</t>
  </si>
  <si>
    <t>90921000-9 Послуги з дезінфікування та витравлювання (Послуги з дезінфікування та витравлювання (профілактична дезінфекція приміщень)</t>
  </si>
  <si>
    <t>90b50d1bea4e408bb0f7880e78d49d4b</t>
  </si>
  <si>
    <t>90efe59e6dc8420dbb9416a45bf7dd8d</t>
  </si>
  <si>
    <t>91</t>
  </si>
  <si>
    <t>91a851f188ea42fcabe6cac82f92f037</t>
  </si>
  <si>
    <t>91db13ca8dcd4e70883befc748dea42c</t>
  </si>
  <si>
    <t>92220000-9 Телевізійні послуги</t>
  </si>
  <si>
    <t>92220000-9 Телевізійні послуги (92221000-6 Послуги телевізійного виробництва (Послуги з виготовлення відеосюжетів в цифровому форматі, послуги з виготовлення програми "Діалог" в цифровому форматі)</t>
  </si>
  <si>
    <t>92221000-6 Послуги телевізійного виробництва (Послуги з виготовлення відеосюжетів в цифровому форматі, послуги з виготовлення програми "Діалог" в цифровому форматі)</t>
  </si>
  <si>
    <t>922cedf96fc64415854e7bc9ebf6db3b</t>
  </si>
  <si>
    <t>93</t>
  </si>
  <si>
    <t>93fe9e2d12624f5cb4e12bb6af9af790</t>
  </si>
  <si>
    <t>94</t>
  </si>
  <si>
    <t>94086f221d1246b196d6a458e337610a</t>
  </si>
  <si>
    <t>940fb52540bb407bb1e49df858f1b158</t>
  </si>
  <si>
    <t>9461ac7031e14ecba2cf1631d814fb57</t>
  </si>
  <si>
    <t>95</t>
  </si>
  <si>
    <t>96</t>
  </si>
  <si>
    <t>961ad17106c144978233f6bad38a9932</t>
  </si>
  <si>
    <t>96f14e0f9d8844bcb73eacab8785ae19</t>
  </si>
  <si>
    <t>97</t>
  </si>
  <si>
    <t>97298f992aa84b0785e2e3e10a2f9c23</t>
  </si>
  <si>
    <t>9769ba45e8234addafd240f72c0b1e0b</t>
  </si>
  <si>
    <t>9784014aa6444e448319b43260086df7</t>
  </si>
  <si>
    <t>98</t>
  </si>
  <si>
    <t>982e6650c39048ec8c5db73375dd828f</t>
  </si>
  <si>
    <t>996a5f115da84f1080bbc6143351b13d</t>
  </si>
  <si>
    <t>99c736a2112f4a5fb961f79a57e61ddc</t>
  </si>
  <si>
    <t>9a3f1a1f301a4609bef60973a62126a3</t>
  </si>
  <si>
    <t>9a6216cdb9654a42af9aed2a050fde6d</t>
  </si>
  <si>
    <t>9dda0474666a45ec86c020a1407bb9ae</t>
  </si>
  <si>
    <t>9f5bb4a3aac24e68a33d26cf9adfea5a</t>
  </si>
  <si>
    <t>9faff2f2bc2a45eaa44d66e2193d9a58</t>
  </si>
  <si>
    <t>ID контракту</t>
  </si>
  <si>
    <t>IP COM</t>
  </si>
  <si>
    <t>V1TANO V804 VD-40 Multi Function Spray / Мультифункціональне мастило (спрей) 450 мл.</t>
  </si>
  <si>
    <t>a094ad74775047b3944228427096831a</t>
  </si>
  <si>
    <t>a0d3322b7b9a4cf58f3974c6e3d4187d</t>
  </si>
  <si>
    <t>a160dc9054b14f9abb182b28d528ef78</t>
  </si>
  <si>
    <t>a21d51bdbdf14ac297b44e1b876265cd</t>
  </si>
  <si>
    <t>a24ba1b25aee4ac59216984019af1f6c</t>
  </si>
  <si>
    <t>a2f1b9e1b6ff45e0bc007e56a856156d</t>
  </si>
  <si>
    <t>a356b8f0ba714517b2e6ab0815300bb2</t>
  </si>
  <si>
    <t>a3d66aa570a940e790e5ee97af55d8de</t>
  </si>
  <si>
    <t>a4f850087be541e3a452f7843d41ff4b</t>
  </si>
  <si>
    <t>a52d1d9e9ac84e27a9c2231069d00d75</t>
  </si>
  <si>
    <t>a542089372fb4408bd8b93037629590c</t>
  </si>
  <si>
    <t>a59e0f07963e426da1dc66f99b8a0d3b</t>
  </si>
  <si>
    <t>a60212a78d9947ada78921c235c04ba8</t>
  </si>
  <si>
    <t>a6890637823b415a8797455bd566b55d</t>
  </si>
  <si>
    <t>a6e81ea49d054b64b4126454ac748b55</t>
  </si>
  <si>
    <t>a7d349a0227944b4adf83c0db7d27f26</t>
  </si>
  <si>
    <t>a92bb42d5e824656a03a851d382cee5b</t>
  </si>
  <si>
    <t>a99ad6bec21a4b4ab5e24d33885e699b</t>
  </si>
  <si>
    <t>aa73c271df1f47f2b5493bfc2af3c71c</t>
  </si>
  <si>
    <t>aa9445e4b1854ba0a56068fffb6a95be</t>
  </si>
  <si>
    <t>aae9b937b1c249e6a781eea3526dc00c</t>
  </si>
  <si>
    <t>abdb1c820b2f4d5f8d3ad03d9ca0a8bc</t>
  </si>
  <si>
    <t>ac2ad6e2f2e84fb48aa44784fb9b8bcd</t>
  </si>
  <si>
    <t>ac635e4b677f4168a4f5efec26d22a14</t>
  </si>
  <si>
    <t>aeda888fb3604744b827443317840285</t>
  </si>
  <si>
    <t>afa5ed5e5f6044849c33531021faef31</t>
  </si>
  <si>
    <t>b0984821005b4216b4db05b504904aa9</t>
  </si>
  <si>
    <t>b1d0a328e8e2438f884e1bce46707a24</t>
  </si>
  <si>
    <t>b23fc84d1d904d0e9c58c4e3b8ff56ff</t>
  </si>
  <si>
    <t>b311603de7a04dae8f86d12a1b27061d</t>
  </si>
  <si>
    <t>b34734c1374f4f13b9f7a6922fe00053</t>
  </si>
  <si>
    <t>b42098c299e64ada8e91f60e0531de22</t>
  </si>
  <si>
    <t>b4c694b7225e4548a33958a796b65a21</t>
  </si>
  <si>
    <t>b55ab1dc14f54741bc9dd9bbde916e41</t>
  </si>
  <si>
    <t>b59609b12d304b128d01331848c6d27d</t>
  </si>
  <si>
    <t>b5a02c5646454a16974f1b24cbfc1d16</t>
  </si>
  <si>
    <t>b7145cda1e274f01b9453f294837d5b8</t>
  </si>
  <si>
    <t>b71b61c16fc64d17872f051e2ab9e3dc</t>
  </si>
  <si>
    <t>b7237d4a90cb4f96bb4fc988c972f74a</t>
  </si>
  <si>
    <t>b799bf7ffe0245458087e86d9dea7f55</t>
  </si>
  <si>
    <t>b882cc8f0cdc4303b89771f0e5dd7093</t>
  </si>
  <si>
    <t>b9b41b1cc78e43c8a321b5c970afc00b</t>
  </si>
  <si>
    <t>b9f9da6bbab740b8aa396799fa89e356</t>
  </si>
  <si>
    <t>ba1d25e5e0c64e7582fc71b07f4bcd1c</t>
  </si>
  <si>
    <t>ba54ae040b7d4f918db92077a6e17853</t>
  </si>
  <si>
    <t>ba57f2291bd94b81923211b6ab6da3e0</t>
  </si>
  <si>
    <t>bacded5c0a9847e7b6fc6e20ecc770dc</t>
  </si>
  <si>
    <t>bb5aaa5705da4dc0bfca5545eae0dac9</t>
  </si>
  <si>
    <t>bbb0b31fce464c6293dbc02cf69e5241</t>
  </si>
  <si>
    <t>bce45cedd94b44459cecefcfdbd6917e</t>
  </si>
  <si>
    <t>bd3a83e2260d465d9315ddf205faece7</t>
  </si>
  <si>
    <t>bd58e8c67a2b4e73aea7e161002d88f2</t>
  </si>
  <si>
    <t>be367bd5173f438f833a803a721bb221</t>
  </si>
  <si>
    <t>bf2bd6e1142b430bb24a733c19bd0b1b</t>
  </si>
  <si>
    <t>c0146c2bc3d3466b96f4239af0fa2492</t>
  </si>
  <si>
    <t>c0977f45245245288bf98f23284bf289</t>
  </si>
  <si>
    <t>c1043ecd44324542afe5ff17d02fb1a5</t>
  </si>
  <si>
    <t>c28fc35308fa4cc195d9a2d109ba6429</t>
  </si>
  <si>
    <t>c33677619df049ce98f50dd9d823d1fb</t>
  </si>
  <si>
    <t>c34efad69eb44acf80f81927969eca4e</t>
  </si>
  <si>
    <t>c3bd7a6d1ea44550872bb8cde96bd319</t>
  </si>
  <si>
    <t>c3ecd929b6044a73a92d07ab1ef4c6bb</t>
  </si>
  <si>
    <t>c4530a9fc37a46cb9482b330031dc971</t>
  </si>
  <si>
    <t>c504232ad768426386879a660b24ab64</t>
  </si>
  <si>
    <t>c5f07e0d8fe04a69ad3af0e8ff1a9855</t>
  </si>
  <si>
    <t>c60898078fbb4188b72252f0fb8e7798</t>
  </si>
  <si>
    <t>c664910274494caebc11ff37dd209886</t>
  </si>
  <si>
    <t>c73eff0add744cd9a6bf86fc1af04b07</t>
  </si>
  <si>
    <t>c756e17c1f8d4bb39d68ea22b46526cc</t>
  </si>
  <si>
    <t>c836eb54dfe44be3b794481c65eaf76a</t>
  </si>
  <si>
    <t>c8456d7a7a60478ba7ddad2b5cce9fb3</t>
  </si>
  <si>
    <t>c9ea982bb2d24c788747fe2b072da043</t>
  </si>
  <si>
    <t>ca125e1538a94f07840ab3d72229eb42</t>
  </si>
  <si>
    <t>cb01189b86d44dbd87a4a6588253debd</t>
  </si>
  <si>
    <t>cb5fb42824d04a89a0cfccc58c7eb438</t>
  </si>
  <si>
    <t>cb7cc3195de34efd8f111821d6fa0d08</t>
  </si>
  <si>
    <t>cc49f540e3f84c13a8754ae3eb263b69</t>
  </si>
  <si>
    <t>cc5d55437b414ae5b16cb423c421561d</t>
  </si>
  <si>
    <t>cc82ec386cbb478790a73370596aa1aa</t>
  </si>
  <si>
    <t>cd6faeb67aa14295b80ff72a2942c3b3</t>
  </si>
  <si>
    <t>cd7e2c6c5eac4cecbf8d55751e79844a</t>
  </si>
  <si>
    <t>cec81808bbfd49f691d9fc19bff088e6</t>
  </si>
  <si>
    <t>cfd9069cc57d4e338209c3fefa213315</t>
  </si>
  <si>
    <t>d0946b2a95ce4ae193f2a89cc233fbce</t>
  </si>
  <si>
    <t>d13091b5db2a4c15b536a94a03d25dd1</t>
  </si>
  <si>
    <t>d132add5169a4b558228d674c137e806</t>
  </si>
  <si>
    <t>d14572647fd84ee8a7a2f911b767799b</t>
  </si>
  <si>
    <t>d1bee0d2565d4968b501259185b15469</t>
  </si>
  <si>
    <t>d1e7dbbdaa2c4217b95cdc2460018abd</t>
  </si>
  <si>
    <t>d21064e4e373403d9850f3949ce0a451</t>
  </si>
  <si>
    <t>d2401cc0489a4f68a53ec4fa21ec04f0</t>
  </si>
  <si>
    <t>d41f767fd31e4402a8db71e2766474c6</t>
  </si>
  <si>
    <t>d4c4f5c49ca54166bd8720fe49cb6997</t>
  </si>
  <si>
    <t>d64a42801c284454b144f56b32178863</t>
  </si>
  <si>
    <t>d9a6aefe163445408235a37a4b4c6433</t>
  </si>
  <si>
    <t>da3b9f3a4be74213bdb35542d2be10f3</t>
  </si>
  <si>
    <t>de2c40605ec14b79b67419e334be0f4c</t>
  </si>
  <si>
    <t>def6e458f2ec4e5cb3aaba57466fcb5d</t>
  </si>
  <si>
    <t>df1579e25bfb4e3799326a3c0df4013b</t>
  </si>
  <si>
    <t>df35aecdd5574a57be2e4ed679f6de1f</t>
  </si>
  <si>
    <t>e045da070b894701bbf0d4428435bcd6</t>
  </si>
  <si>
    <t>e0a35d54d911413586d8920155fea5cb</t>
  </si>
  <si>
    <t>e0e2c2ca85674cbea697df8804a33b2a</t>
  </si>
  <si>
    <t>e0f4ac3d57e04f6d80af9e2369bb5fc5</t>
  </si>
  <si>
    <t>e11ad7ccd713427980537373e4024fe4</t>
  </si>
  <si>
    <t>e15fcf54d6714923a2298405234ebe67</t>
  </si>
  <si>
    <t>e1fb6c5b61ca42f38ea295bc3c0a6dee</t>
  </si>
  <si>
    <t>e24fc6977bbc4456bfb17174d6fd3520</t>
  </si>
  <si>
    <t>e2533c8fa0714454bfaa04098589233e</t>
  </si>
  <si>
    <t>e274e372dd654415bc35b647ef2cc11f</t>
  </si>
  <si>
    <t>e4911954c94b4123af70d68dfd500248</t>
  </si>
  <si>
    <t>e4d733d98ef2457f8c9a1baf653734ec</t>
  </si>
  <si>
    <t>e51b9cfbc9f443209a41913915e59cdc</t>
  </si>
  <si>
    <t>e595457a6bf84e218673e0ff88b06a45</t>
  </si>
  <si>
    <t>e5e8ba198903487ca501201ee67309b6</t>
  </si>
  <si>
    <t>e61fc3a3e76146878f0b72d603cbee71</t>
  </si>
  <si>
    <t>e66993ca21c54c69bb2d6638f72a5677</t>
  </si>
  <si>
    <t>e72c63dcb23e458dac9a9133173748a4</t>
  </si>
  <si>
    <t>e7337277d37b45de97960d7a237adf0e</t>
  </si>
  <si>
    <t>e73c8884b405493b8af9fbb01b635cb2</t>
  </si>
  <si>
    <t>e7a95fafd1bd478496271f69a62f7d6a</t>
  </si>
  <si>
    <t>e80190f18e5247608e3b555407a78f6f</t>
  </si>
  <si>
    <t>e95279e089cb42a6a7f353af18fe8d21</t>
  </si>
  <si>
    <t>e97f9880c2284326be811b989856dc80</t>
  </si>
  <si>
    <t>ea156373acc34b0296fbe36d7ea06578</t>
  </si>
  <si>
    <t>ea5a28af8de44e6f827f15d40b0ff2df</t>
  </si>
  <si>
    <t>ec3f81ef54554a1b9c1f2d127c917b8a</t>
  </si>
  <si>
    <t>ed682c13fda047439986416b6b03ca78</t>
  </si>
  <si>
    <t>edf4464b52164776858c1fe793e11a7b</t>
  </si>
  <si>
    <t>ee02e95cbd2243c1ac5b504d397bed57</t>
  </si>
  <si>
    <t>ef2a77a55f0a4d00a08e726927ae3862</t>
  </si>
  <si>
    <t>efdcaaa00e6445dead70c3439075e690</t>
  </si>
  <si>
    <t>f01b26a9a267400d8acba95ec2e6b187</t>
  </si>
  <si>
    <t>f05254a9d3334dd38867c3bc0bc38b2c</t>
  </si>
  <si>
    <t>f0b53fb15b294e9d8cc301cdf21f3b8f</t>
  </si>
  <si>
    <t>f0e4c3c94d3b49ce87ba5485c81ff353</t>
  </si>
  <si>
    <t>f1698ff6f1a746ceaab847f317c98963</t>
  </si>
  <si>
    <t>f199c0e702844f7fb31569223a324ee0</t>
  </si>
  <si>
    <t>f1c35edf6e0a44879083edbc9c470a1c</t>
  </si>
  <si>
    <t>f2864b99eeac46938f272e8dd5e756b6</t>
  </si>
  <si>
    <t>f3b1f810b0f2486e9a0a3a5e7cf95310</t>
  </si>
  <si>
    <t>f3b29e37d9034557873e4275041ddef4</t>
  </si>
  <si>
    <t>f3b6a47b898b47279a0814d5636149cd</t>
  </si>
  <si>
    <t>f4b68bc1bea340078301c08d2b61adff</t>
  </si>
  <si>
    <t>f532266aba9e45e5a88716fbec40be97</t>
  </si>
  <si>
    <t>f5a5c7ca02f547ea8b3ee6c66dadb294</t>
  </si>
  <si>
    <t>f6f514eac0ec44e5af03fa12fbef6ccc</t>
  </si>
  <si>
    <t>f82f7d8e541c464e8b23792d92c98aba</t>
  </si>
  <si>
    <t>f86ab82b15ef4727b6debc19477c39a4</t>
  </si>
  <si>
    <t>f9de7ca0c68f4dc2ba5a51c60318f439</t>
  </si>
  <si>
    <t>fb74ca3226a7403ea62319cc8327c62e</t>
  </si>
  <si>
    <t>fc4e2913af6d4ef0944aca2639867bda</t>
  </si>
  <si>
    <t>fc888a0266d0461c9c9e3425b44d52c8</t>
  </si>
  <si>
    <t>fce67b376c3d490e89afeea6fbbcead1</t>
  </si>
  <si>
    <t>fd876b55b4254702aac8d40c76dec869</t>
  </si>
  <si>
    <t>fdac9bfcd750429bbea8f2f15c39ec97</t>
  </si>
  <si>
    <t>ff0a855ec2d24565a676609b60d31e4c</t>
  </si>
  <si>
    <t>ff59880eebb54d0a956eaa9f98fa6505</t>
  </si>
  <si>
    <t>report-feedback@zakupivli.pro</t>
  </si>
  <si>
    <t>ЄГОРОВА СВІТЛАНА МИХАЙЛІВНА</t>
  </si>
  <si>
    <t>ЄДРПОУ переможця</t>
  </si>
  <si>
    <t>ЄМЕЛЬЯНОВА ТЕТЯНА ВОЛОДИМИРІВНА</t>
  </si>
  <si>
    <t>ІВАЩЕНКО КОСТЯНТИН ПЕТРОВИЧ</t>
  </si>
  <si>
    <t>Ідентифікатор договору (Використовується при звітуванні у E-data)</t>
  </si>
  <si>
    <t>Ідентифікатор закупівлі</t>
  </si>
  <si>
    <t>Ідентифікатор лота</t>
  </si>
  <si>
    <t>Ізолятор пантографа Т3; Плата контролера управління 0820764 801/N; Плата контролера управління 0820805 801/J; Плата контролера управління 3101821 801/A; Плата контролера управління PP02; Плата контролера управління ІFUS03; Мотор редуктор склоочисника 443125002016; Мотор редуктор СЛ-108; Мотор редуктор 9902152/1-DEC; Вентилятор W1G250-HH37-56 трамваю Т3М; Котушка рільсового гальма Т3; Щіткотримач ДК 259; Кронштейн (ізолятор) щіткотримача ДК259; Щіткотримач ТЕ022; Щіткотримач ТЕ023</t>
  </si>
  <si>
    <t>АКЦІОНЕРНЕ ТОВАРИСТВО "МИКОЛАЇВОБЛЕНЕРГО"</t>
  </si>
  <si>
    <t>АКЦІОНЕРНЕ ТОВАРИСТВО "СТРАХОВА КОМПАНІЯ "ББС ІНШУРАНС"</t>
  </si>
  <si>
    <t>АКЦІОНЕРНЕ ТОВАРИСТВО "УКРПОШТА"</t>
  </si>
  <si>
    <t>АКЦІОНЕРНЕ ТОВАРИСТВО "УКРТЕЛЕКОМ"</t>
  </si>
  <si>
    <t>АНІЧКІН ІГОР ВАЛЕРІЙОВИЧ</t>
  </si>
  <si>
    <t xml:space="preserve">АУДИТОРСЬКА ФІРМА У ФОРМІ ТОВАРИСТВА З ОБМЕЖЕНОЮ ВІДПОВІДАЛЬНІСТЮ "ІНТЕРКОНТО"
</t>
  </si>
  <si>
    <t>Акумулятор 3GC-225; Акумулятор Volthor AGM Stop&amp;Go; Акумулятор VOLTHOR SUPREME</t>
  </si>
  <si>
    <t>Акумулятор 6ст-100А; Акумулятор 6ст-100А; Акумулятор 6ст-74А; Акумулятор 6ст-78А; Акумулятор 6ст-190АЗ; Акумулятор 6ст-185АЗ</t>
  </si>
  <si>
    <t>Акумулятор VARTA SP110Ah 920A</t>
  </si>
  <si>
    <t>Акумуляторна батарея Merlion GL121200M8 (або еквівалент)</t>
  </si>
  <si>
    <t>Алюмінієві профілі</t>
  </si>
  <si>
    <t>Амортизатор 101-2905006; Амортизатор 02.007.11; Амортизатор 14 ТР передній; Амортизатор 14 ТР задній; Фланець тягового двигуна 103Т-2201048-02; Фланець редуктора ZF 1316338002; Пневмобалон 101-2924014; Стакан пневмобалону; Кришка пневмобалону; Тяга поперечна у зборі з наконечниками 203067-3003052; Тяга рульова поздовжня 203065-3003010; Накінечник кермової тяги 040160591000; Накінечник кермової тяги 040160603000; Карданний вал 203069-344406210; Карданний вал заднього мосту AV 133/80 (ZF); Кран стояночного гальма WABCO 9617230010; Педальний гальмівний клапан WABCO 4613186030 ; Педаль ходу електронна ФР-8122; Регулятор положення кузову SV1470; Гальмівний барабан 6430-3501070 (передній); Гальмівний барабан 5440-3502070 (задній); Важіль регулювальний (трещітка) 103-3501136-10; Колодка гальмівна 5440-3502090 (права); Колодка гальмівна 5440-3502090 (ліва); Вісь гальмівної колодки 130-3501132; Втулка розтискного кулака 101-3501126; Втулка цапфи 54321-3104051; Втулка важеля передньої підвіски 101-2904404; Втулка реактивної тяги передньої підвіски 101-2909094; Гайка пальця передньої підвіски 101-2904402; Палець кульковий кермової тяги 14ТР; Накінечник кермової тяги лівий 14ТР; Накінечник кермової тяги правий 14ТР; Важіль регулювальний гальм заднього колеса лівий 14ТР; Важіль регулювальний гальм заднього колеса правий 14ТР; Накінечник кермової тяги правий 6422-3003056; Накінечник кермової тяги правий 6422-3003057; Кутовий редуктор 101-3426010; Камера гальмівна з накопичувачем 103-3500110 (24/24); Кермова колонка у зборі з кронштейном 64221-3403008; Супорт гальмівний задній у зборі правий 501008860; Супорт гальмівний задній у зборі лівий 501008861; Супорт гальмівний передній у зборі правий  501009382; Супорт гальмівний передній у зборі лівий 501009381; Механізм кермовий у зборі УЯИШ.453461.006-03; Кермовий механізм ZF 8098.988.673; Гідроциліндр кермовий 5336-3405005; Барабан гальмівний передній 442224110135; Барабан гальмівний задній 118.34-3341-031; Гальмівний механізм КТМ у зборі; Гальмівна колодка КТМ ; Накладка гальмівна КТМ 3ТР-270; Гальмівна система Т3М у зборі; Гальмівний механізм Т3 у зборі; Диск гальмівний Т3-М; Колодка гальмівна Т3-М; Гальмівний барабан Т3; Гальмівна колодка Т3; Накладка гальмівна Т3 3ТР-227; Тяга колодочного гальма Т3; Комплект колодок гальмівних К046771К50; Гальмівний диск 90ВО1002</t>
  </si>
  <si>
    <t>Аміаку р-н 10% 40мл; Анальгін табл.0,5г. №10 ; Спазмалгон табл.№50; Дротаверин табл.40мг № 30; Валеріани екстракт табл.20 мг №50; Валідол табл. 60 мг №10; Каптопрес-Дарниця табл.№20; Папазол Дарниця табл. №10), ; Корвалмент капс. 100 мг №80; Корвалол краплі 50 мл; Лоперамід табл. 2 мг №20; Левоміцетин-Дарниця табл.0,5г №10; Цитрамон-Дарниця табл.№6; Ацетилсаліцилова к-та 500мг. №10; Парацетамол капс.500 мг №10; Вугілля активоване табл.0,25 г №10</t>
  </si>
  <si>
    <t>БОБРОВА МАРИНА ПЕТРІВНА</t>
  </si>
  <si>
    <t>Бойлер Gorenij GBF 150 сухий тен ; Бойлер Gorenij GBF 100 сухий тен</t>
  </si>
  <si>
    <t>Бойлер електричний 150л.; Бойлер електричний 100л.; Бойлер електричний 30л.</t>
  </si>
  <si>
    <t>Болт 5*20 DIN 933 оц (код 101w); Болт 5*30 DIN 933 оц (код 101w); Болт 5*40 DIN 933 оц (код 101w); Болт М6*20 DIN 933 оц (код 101w); Болт М6*25 DIN 933 оц (код 101w); Болт 6*30 DIN 933 оц (код 101w); Болт М6*40 DIN 933 оц (код 101w); Болт 6*60 DIN 933 оц (код 101w); Болт М8*20 DIN 933 оц (код 101w); Болт 8*25 DIN 933 оц (код 101w); Болт М8*35 DIN 933 оц (код 101w); Болт 8*45 DIN 933 оц (код 101w); Болт М8*60 DIN 933 оц (код 101w); Болт 8*80 DIN 933 оц (код 101w); Болт 16*80 DIN 933 оц (код 101w); Болт 16*90 DIN 933 оц (код 101w); Болт 20*80 DIN 933 оц (код 101w); Болт М8*50 DIN 933 оц (код 101w); Болт М10*25 DIN 933 оц (код 101w); Болт М10*35 DIN 933 оц (код 101w); Болт М10*40 DIN 933 оц (код 101w); Болт М10*60 DIN 933 оц (код 101w); Болт М10*80 DIN 933 оц (код 101w); Болт М12*25 DIN 933 оц (код 101w); Болт М12*40 DIN 933 оц (код 101w); Болт М12*45 DIN 933 оц (код 101w); Болт М12*70 DIN 933 оц (код 101w); Болт М14*30 DIN 933 (код 101); Болт М14*45 DIN 933 оц (код 101w); Болт М14*60 DIN 933 оц (код 101w); Болт М16*45 DIN 933 (код 101); Болт М16*55 DIN 933 оц (код 101w); Гайка М5 оц DIN 934 (код 120w); Гайка М6 оц DIN 934 (код 120w); Гайка М8 оц DIN 934 (код120w); Гайка М10 оц DIN 934 (код 120w); Гайка М12 оц DIN 934 (код 120w); Гайка М14 оц DIN 934 (код 120w); Гайка М16 оц DIN 934 (код 120w); Гайка М20 оц DIN 934 (код 120w); Шайба Ø5 оц DIN 125 (код141w); Шайба Ø6 оц DIN 125 (код141w); Шайба Ø8 оц DIN 125 (код141w); Шайба Ø10 оц DIN 125 (код141w); Шайба Ø12 оц DIN 125 (код141w); Шайба Ø16 оц DIN 125 (код141w); Шайба Ø20   оц     DIN 125      (код141w); Гровер Ø8 оц DIN 7980 ( код145w); Гровер Ø10 оц DIN 7980 ( код145w); Гровер Ø12 оц DIN 7980 ( код145w); Гровер Ø14 оц DIN 7980 ( код145w); Гровер Ø16 оц DIN 7980 ( код145w); Гровер Ø20 оц DIN 7980 ( код145w); Шплінт 3,2*50 оц (код 161w); Шплінт 6,3*71 оц (код 161w); Шплінт 3,2*63 оц (код 161w); Шплінт 4*71 оц (код 161w); Заклепка витяжна 4*16 (код 701); Заклепка витяжна 4*20 (код 701); Заклепка витяжна 4,8*24 (код 701); Дюбель 6*40 (код 303) грибок; Дюбель 6*60 (код 303) грибок; Дюбель 8*80 (код 301) потайний; Дюбель 8*100 (код 301) потайний; Дюбель 6*80 (код 301) потайний; Заклепка витяжна 4,8*30 (код 701); Болт М6*50 DIN 933 оц (код 101w); Болт М14*30 DIN 933 оц (код 101w); Універсальний шуруп пот 4*16 (код 209); Універсальний шуруп пот 4*20 б/ц (код 209); Універсальний шуруп пот 4*25 (код 209); Універсальний шуруп пот 4*45 (код 209); Універсальний шуруп пот 5*45 (код 209); Покрівельний саморіз по металу 4,8*19 RAL 9006 (код 207/21); Покрівельний саморіз 4,8*35 RAL 7004 (код 207/2); Покрівельний саморіз 4,8*35 RAL 8017 (код 207/2); Саморіз п/м пот гостр 3,9*16 (код 203/2); Саморіз п/м пкр гостр 3,9*19 (код 203/1); Саморіз п/м пкр гостр 4,8*22 (код 203/1); Саморіз п/м пкр гостр 4,8*45 (код 203/1); Саморіз гіпсокартон/дерево 3,5*25 (13 тис.шт) (код 202); Саморіз гіпсокартон/дерево 3,5*35 (код 202); Саморіз гіпсокартон/дерево 3,5*45 (7 тис.шт) (код 202); Саморіз гіпсокартон/дерево 3,5*55 (4 тис.шт) (код 202); Саморіз гіпсокартон/дерево 4,2*76 (2.5 тис.шт) (код 202); Саморіз гіпсокартон/метал 3,5*25 (18 тис.шт) (код 201); Саморіз п/м пкр свердло 4,2*19 оц. (код 204); Саморіз п/м пкр свердло 4,2*25 оц. (код 204); Саморіз п/м пкр гостр 4,2*19 оц. (код 203); Саморіз п/м пкр гостр 4,2*25 оц. (код 203); Стяжка (нейлон) біла, 4,8*200 ( 100 шт.); Стяжка (нейлон) біла, 4,8*300 ( 100 шт.); Стяжка (нейлон) біла, 4,8*400 ( 100 шт.); Шайба Ø14 оц DIN 125 (код141w)</t>
  </si>
  <si>
    <t>Бортовий перетворювач SDMC-103-600/28-5</t>
  </si>
  <si>
    <t>Брус свіжопиленний 50х100х4500мм; Дошка обрізна 30х100х6000мм; Рейка 30х50х3000мм; Брус свіжопиленний100х100х4500мм; Брус свіжопиленний 50х150х4500мм; Дошка обрізна 50х150х6000мм; Дошка обрізна 40х150х6000мм; Дошка обрізна 25х100х4500мм</t>
  </si>
  <si>
    <t>Бур гідравлічний у зборі з двигуном MST M644 PLUS</t>
  </si>
  <si>
    <t>ВАСИЛИНЮК ОЛЕНА АНДРІЇВНА</t>
  </si>
  <si>
    <t>ВАХОВСЬКИЙ МАКСИМ ОЛЕГОВИЧ</t>
  </si>
  <si>
    <t>ВОЛОХОВА НАТАЛЯ ЮРІЇВНА</t>
  </si>
  <si>
    <t>Вимикач автоматичний ВА21-29Т-121110-16А-61Н600DC; Вимикач автоматичний ВА21-29Т-121110-40А-61Н600DC; Вимикач автоматичний ВА21-29Т-121110-63А-61Н600DC; Модульний автоматичний вимикач _63А_2п_NB1-63DC; Модульний автоматичний вимикач _40А_2п_NB1-63DC; Модульний автоматичний вимикач _16А_2п_NB1-63DC; Контактор CHINT NC2-400_400А_230V; Контактор SA781 750V 200 А; Контактор SЕ 11 ТА 600V 25A; Контактор КПП 113 24В; Контактор КПП 114 24В; Контактор КПД 110 24В; Контакт рухомий КПП113 (срібло); Контакт нерухомий КПП113 (срібло); Головний лінійний контактор SL11A у зборі в корпусі 90372020; Контактор КНЕ 220 27В; Реле JD2914 24V 80A; Реле JD2914 24V 40A; Реле БОШ 0332209221; Контактор ТКС601ДОД; Контактор КТК 1.20 (котушка 24V); Пристрій комутаційний CА 14 -2/1; Пристрій комутаційний СА 14 -1/0; Пристрій комутаційний CА 14 -2/0; Перемикач VS16 12503038А8; Перемикач VS16 12502011В4; Перемикач VS16 04002062C4; Перемикач VS16 065030077C8; Перемикач VS16 05504027; Перемикач VS16 2351S8; Перемикач VS16 0300201608; Перемикач VS16 03003020A8; Перемикач VS16 07507006; Кулачковий елемент КЕ42; Грозорозрядник трамвайного вагону Т3 у зборі з основою GXS 1.3; Грозорозрядник трамвайного вагону Т3 у зборі з основою SBKB 1/10/G 1332.5-211400</t>
  </si>
  <si>
    <t>Вимикач вн. устан. 1-кл. білий IP20 TNSy Latina; Вимикач вн. устан. 2-кл. білий IP20 TNSy Latina; Вимикач зовн. устан. 1-кл. білий IP20 TNSy Leon; Вимикач зовн. устан. 2-кл. білий IP20 TNSy Leon; Коробка під 1-2 автомата, з кришкою Карлик; Корпус пластиковий 6-модульний e.plbox.stand.n.06k, навісний; Корпус пластиковий 8-модульний e.plbox.stand.n.08k, навісний; Корпус пластиковий 12-модульний e.plbox.stand.n.12k, навісний; Корпус пластиковий 24-модульний e.plbox.stand.n.24k, навісний; Гофротруба d 20 TITAN (100); Гофротруба d 25 TITAN (50); Гофротруба d 32 TITAN (25); Коробка розподільча герметична зовнішня квадратна 100х100x50 мм; Розподільча коробка e.db.pro.85.85.50 u; Гофротруба d 16 TITAN (100); Коробка під 3-4 автомата, з кришкою Карлик; Розподільча коробка 100*100*45 (бетон); Ящик з рубильником і запобіжниками ЯРП 250 IP54; Ящик з рубильником і запобіжниками ЯРП 400 IP54; Модульний автоматичний вимикач e.mcb.stand.45.1.C6, 1р, 6А, C, 4,5 кА; Модульний автоматичний вимикач e.mcb.stand.45.1.C10, 1р, 10А, C, 4,5 кА; Модульний автоматичний вимикач e.mcb.stand.45.1.C16, 1р, 16А, C, 4,5 кА; Модульний автоматичний вимикач e.mcb.stand.45.1.C25, 1р, 25А, C, 4,5 кА; Модульний автоматичний вимикач e.mcb.stand.45.1.C32, 1р, 32А, C, 4,5 кА; Модульний автоматичний вимикач e.mcb.stand.45.3.C25, 3р, 25А, C, 4,5 кА; Модульний автоматичний вимикач e.mcb.stand.45.3.C32, 3р, 32А, C, 4,5 кА; Модульний автоматичний вимикач e.mcb.stand.45.3.C40, 3р, 40А, C, 4,5 кА; Модульний автоматичний вимикач e.mcb.stand.45.3.C63, 3р, 63А, C, 4,5 кА; Запобіжник ПН 2П-100-00 УХЛ3, на струм 100А (ст); Запобіжник ПН 2П-250-00 УХЛ3, на струм 250А (мідь); Обмежувач перенапруги ОПН-6/7,2-2класс; Силовий автоматичний вимикач e.industrial.ukm.100S.100, 3р, 100А; Силовий автоматичний вимикач e.industrial.ukm.60S.25, 3р, 25А; Силовий автоматичний вимикач e.industrial.ukm.60S.16, 3р, 16А; Пускач ПМ 2-25-01 M7 230В (LC1-D2501)</t>
  </si>
  <si>
    <t>Вимикач навантаження ВНАП 10/630-ІІ-20 У3 з приводом ; Автоматичний вимикач ENEXT e.industrial.ukm 400S 320 3p 320A; Обмежувач перенапруг ОПН-П-6/6,9/10/550 УХЛ1</t>
  </si>
  <si>
    <t>Вкладка М-образна Т-3; Вкладка П-образна Т-3; Гумовий упор (каблук) 01.002.329 Т-3; Куб гумовий 01.002.057 Т-3; Сайлент блок d-108 01.002.057 Т-3; Сайлент-блок d-84 01.002.126 Т-3; Сайлент-блок амортизатора Т-3М (02-322.02.04); Амортизатор рейкового гальма 50.304.060 Т-3; Пильник гальмівного механізму Т-3М (25-090-006); Сайлент-блок МРТ Т3 з металевою втулкою; Профіль буксовий 15 мм (комплект з 2-х половинок) КТМ; Профіль буксовий 15 мм (суцільний) КТМ; Профіль буксовий 9,5 мм (комплект з 2-х половинок) КТМ; Куб гумовий КТМ; Гума П-образна вагону КТМ; Ремкомплект Festo JH/JMFH/-5-1/8; Ремкомплект пневморозподільника Камоці KW-358; Ремкомплект електромагнітного клапана WABCO 4728900220; Ремкомплект енергоакумулятора (тип 24); Ремкомплект енергоакумулятора (тип 20); Ремкомплект пневмоциліндра Камоці К02-60-63; Ремкомплект пневмоциліндра Камоці К02-40-50; Ремкомплект пневмоциліндра Камоці К02-40-63; Подушка ГКО РП 2000; Подушка ГКО РП 2001; Подушка ГКО РП 2003; Подушка ГКО РП 2004; Подушка ГКО РП 2006; Ущільнювач ПР-194-10; Ущільнювач 605.11.68.228 ; Ущільнювач двері трамваю Т3 Н-771 ; Ущільнювач 01.015.022 ; Ущільнювач ПР-247 (608.11.08.010); Ущільнювач ПР-248 (608.11.08.011); Ущільнювач ПР-032-10; Ущільнювач 01-013-011 (Н418); Гума ущільнювача пориста 10х30; Ущільнювач УКПР 008-66; Ремінь  клиновий А900; Ремінь  клиновий А1200; Ремінь  клиновий А1320; Ремінь  клиновий А1400; Ремінь  клиновий А1450; Ремінь  клиновий А1500; Ремінь  клиновий А1550; Ремінь  клиновий А1600; Ремінь  клиновий А1650; Ремінь  клиновий А1700; Ремінь  клиновий А1750; Ремінь клиновий А1800; Стрічка транспортерна 170мм; Гума килимкова (ширина 1,3м); Вкладка гумова колісної пари КТМ; Вкладка гумова колісної пари Т3</t>
  </si>
  <si>
    <t xml:space="preserve">Вхідні двері для трамвайного вагону (передні) 2440*1280 SUA05UM5R2-C31N01 
; Вхідні двері для трамвайного вагону (середні) 2440*1410 SUA05UM5R2-C32N01 
; Вхідні двері для трамвайного вагону (задні) 2440*1280 SUA05UM5R2-C33N01 
; Вхідні двері для трамвайного вагону (задні) 2440*1410 SUA05UM5R2-C33N01
</t>
  </si>
  <si>
    <t>Відкриті торги з особливостями</t>
  </si>
  <si>
    <t>Відро оцинковане; Відро пластикове; Відро пл.прямокутне; Віник сорго; шкребок металевий; губка поролонова; губка поролонова велика</t>
  </si>
  <si>
    <t>Вікна металопластикові зі встановленням (1270*860); Вікна металопластикові зі встановленням (1270*840); Вікна металопластикові зі встановленням (1260*860)</t>
  </si>
  <si>
    <t>Вінець зубчастий 118.77; Маточина зубчастого вінця 118.77; Водило RABA 118.34.3330-12 у зборі на три сателіта; Шестерня відома і ведуча 103-2402060/2402017 (Z9/Z28); Головна пара RABA 118.77; Головна пара RABA 318.77; Фланець редуктора 54326-2402061-050; Водило колісної передачі у зборі 5440-2405029; Редуктор заднього мосту 103-2402010-33; Центральний редуктор RABA 118.77 у зборі; Маточина колеса заднього 318.77 (10 отворів); Маточина колеса заднього 118.77 (10 отворів); Шестерня конічна велика 118.77; Шестерня конічна мала 118.77; Шестерня конічна сонячна 118.77; Зірочка приводу дверей КТМ провідна; Зірочка приводу дверей КТМ ведена; Колесо черв’ячне редуктора двері (бронза) КТМ5; Колесо черв’ячне редуктора двері (бронза) КТМ8; Вал черв’ячний редуктора двері КТМ (двоходовий); Пара шестерень склоочисника редуктора Т3 ; Двоплечовий важіль дверного редуктора Т3 ; Черв’ячний вал дверного редуктора Т3; Карданний вал Т-103 (великий); Карданний вал Т-103 (малий); Карданний вал Т-203 (великий); Карданний вал Т-203 (малий); Карданний вал ШКОДА 14ТР; Хрестовина карданного валу Шкода 14ТР 133*52; Хрестовина карданного валу Шкода 14ТР 154*52; Карданний вал Т3; Хрестовина карданного валу Т3; Карданний вал КТМ; Хрестовина карданного валу КТМ; Вал шестерня Z10 (Т3); Тарілчасте колесо Z39 (Т3); Вал шестерня Z7 (Т3); Тарілчасте колесо Z52 (Т3); Вал шестерня У202 (хвостовик КТМ); Тарілчасте колесо У221 (КТМ); Фланець шліцевий (Т3); Втулка редуктора з гайкою посилена (Т3); Втулка з диском трамвайного колеса Т3; Маточина з диском трамвайного колеса Т3; Гайка вісєва трамвайного колеса Т3; Ексцентрик У37 КТМ</t>
  </si>
  <si>
    <t>Вісь колісної пари КТМ-5; Вісь колісної пари Т-3; Бандаж трамвайного колеса вагону КТМ-5; Бандаж трамвайного колеса вагону Т-3</t>
  </si>
  <si>
    <t>ГОНЧАРУК ВІТАЛІЙ МИКОЛАЙОВИЧ</t>
  </si>
  <si>
    <t>Газоаналізатор (Алкотестер) Алкофор s40</t>
  </si>
  <si>
    <t>Гайка клепальна М4 (з плоскою голівкою); Гайка клепальна М5 (з плоскою голівкою); Гайка клепальна М6 (з плоскою голівкою); Гайка клепальна М8 (з плоскою голівкою); Гвинт для дерева 8,0*300 мм (6ти грана головка); Скоба для будівельного степлера 10мм (1000шт.); Цвях 4,0*120мм; Саморіз покрівельний по металу 4,8*19мм  (6ти грана головка) RAL9005 (матовий) (250шт.); Саморіз покрівельний по дереву 4,8*35мм  (6ти грана головка) RAL9005 (матовий) (250шт.); Гвинт TURBO 7,5*152мм ТХ30; Скоба для меблевого степлера №6 ; Скоба для меблевого степлера №8; Скоба для меблевого степлера №10; Заклепки ф4*16; Заклепки ф4,8*19; Заклепки ф3,8*20; Хомут черв’ячний 8-10мм; Хомут черв’ячний 10-16мм; Хомут черв’ячний 16-25мм; Пресмасленка М8 (пряма); Пресмасленка М8 (кутова 45 °); Пресмасленка М8 (кутова 90 °); Пресмасленка М10 (пряма); Пресмасленка М10 (кутова 45 °); Пресмасленка М10 (кутова 90 °); Пресмасленка М6 (пряма); Пресмасленка М6 (кутова 45 °); Пресмасленка М6 (кутова 90 °); Термошайба для полікарбонату ф50мм; Самонарізний гвинт по металу 4,8*25 (250шт)</t>
  </si>
  <si>
    <t>Головка струмоприймача у зборі з ременями невідкидна ГТ14А; Ремкомплект невідкидної головки струмоприймача ГТ14А; Головка струмоприймача ГТ13 (відкидна); Ремкомплект відкидної головки струмоприймача ГТ13; Пята відкидної головки струмоприймача ГТ13 у зборі (пята, пружина, фіксатор, заглушка, палець, пластина); Каретка відкидної головки струмоприймача ГТ13; Скользун відкидної головки струмоприймача ГТ13; Щока відкидної головки струмоприймача ГТ13; Утримувач відкидної головки струмоприймача ГТ13; Вставка контактна головки струмоприймача вугільна 2УГ; Вставка контактна головки струмоприймача міднографітова 2УГАМ; Вставка контактна головки струмоприймача металокерамічна 2МК; Вставка контактна головки струмоприймача чавунна 2ЧВ; Пята головки струмоприймача ГТ14А; Вкладиш головки струмоприймача ГТ14А; Утримувач головки струмоприймача ГТ14А; Щічка головки струмоприймача ГТ14А латунна; Щічка головки струмоприймача ГТ14А алюмінієва; Токоз'ємна втулка головки струмоприймача ; Штанга головки струмоприймача; Втулка штанги головки струмоприймача ізоляційна; Пряжка головки струмоприймача</t>
  </si>
  <si>
    <t>ДІМ РЕКЛАМИ БАШНЯ</t>
  </si>
  <si>
    <t>ДАНАЯ ХОЛДИНГ</t>
  </si>
  <si>
    <t>ДЕРЖАВНЕ ПІДПРИЄМСТВО "ІНФОРЕСУРС"</t>
  </si>
  <si>
    <t>ДЕРЖАВНЕ ПІДПРИЄМСТВО "ВСЕУКРАЇНСЬКИЙ ДЕРЖАВНИЙ НАУКОВО-ВИРОБНИЧИЙ ЦЕНТР СТАНДАРТИЗАЦІЇ, МЕТРОЛОГІЇ, СЕРТИФІКАЦІЇ ТА ЗАХИСТУ ПРАВ СПОЖИВАЧІВ"</t>
  </si>
  <si>
    <t>ДЕРЖАВНЕ ПІДПРИЄМСТВО "КИЇВСЬКА ДЕРЖАВНА РЕГІОНАЛЬНА ТЕХНІЧНА ІНСПЕКЦІЯ МІСЬКОГО ЕЛЕКТРОТРАНСПОРТУ"</t>
  </si>
  <si>
    <t>ДЕРЖАВНЕ ПІДПРИЄМСТВО "ОДЕСЬКИЙ РЕГІОНАЛЬНИЙ ЦЕНТР СТАНДАРТИЗАЦІЇ, МЕТРОЛОГІЇ ТА СЕРТИФІКАЦІЇ"</t>
  </si>
  <si>
    <t>ДЕРЖАВНЕ ПІДПРИЄМСТВО ЗОВНІШНЬОЕКОНОМІЧНОЇ ДІЯЛЬНОСТІ "УКРІНТЕРЕНЕРГО"</t>
  </si>
  <si>
    <t>ДКР/397/07</t>
  </si>
  <si>
    <t>Дата закінчення договору:</t>
  </si>
  <si>
    <t>Дата підписання договору:</t>
  </si>
  <si>
    <t>Дріт зварювальний обміднений СВ08Г2С ф.0,8 мм К200; Дріт зварювальний обміднений СВ08Г2С ф.2 мм К300; Електроди АНО-36 ф.3мм; Електроди УОНИ 13/55 ф.4мм; Електроди ЦЧ-4 ф.4мм; Електроди ЦНІІН ф.4мм</t>
  </si>
  <si>
    <t>Дріт зварювальний обміднений СВ08Г2С ф.0,8 мм К200; Дріт зварювальний обміднений СВ08Г2С ф.2 мм К300; Електроди АНО-36 ф.З мм; Електроди УОНИ 13/55 ф.4мм; Електрод до плазмотрону Р80 (П80)</t>
  </si>
  <si>
    <t xml:space="preserve">Діоксид вуглецю ; Кисень газоподібний; Аргон </t>
  </si>
  <si>
    <t>ЕНЕРГЕТИЧНИЙ ОПЕРАТОР УКРАЇНИ</t>
  </si>
  <si>
    <t>ЕНЕРДЖИГРУП</t>
  </si>
  <si>
    <t>Електродвигун АІР 71А2 У2 0,75кВт/3000 об./хв., ІМ2081 Україна</t>
  </si>
  <si>
    <t>Електрообігрівач інфрачервоного випромінювання П4000; Електрообігрівач інфрачервоного випромінювання У6000</t>
  </si>
  <si>
    <t>Емаль алкідна біла (2,8 кг); Емаль алкідна світло-сіра (2,8 кг); Емаль алкідна сіра (2,8 кг); Емаль алкідна чорна (2,8 кг); Емаль алкідна зелена (2,8 кг); Емаль алкідна синя (2,8 кг); Емаль алкідна блакитна (2,8 кг); Емаль алкідна жовта (2,8 кг); Емаль алкідна бежева (2,8 кг); Емаль алкідна шоколадна (2,8 кг); Емаль алкідна червоно-коричнева (2,8 кг); Ґрунтовка ГФ-021 сіра 2,8 кг.; Ґрунтовка глибоко проникна Ceresit СТ-17 10л.; Інтер’єрна акрилова фарба (для внутрішніх робіт) 14 кг.; Фасадна акрилова фарба 14кг.</t>
  </si>
  <si>
    <t>Жорсткий диск 3,5"8ТВ Seagate ST8000VE001)</t>
  </si>
  <si>
    <t>Журнали проведення денного ТО тролейбусів, журнали проведення ЩО тролейбусів</t>
  </si>
  <si>
    <t>З'єднувальна термоусаджувальна муфта для одножильного кабелю з паперовою ізоляцією на напругу до 1 кВ з бронею 1СТп-1(500-800) з гільзою (800) під зривний гвинт</t>
  </si>
  <si>
    <t>ЗАСЕДКІН ОЛЕКСАНДР ПЕТРОВИЧ</t>
  </si>
  <si>
    <t>ЗАХАРОВ ІГОР АНАТОЛІЙОВИЧ</t>
  </si>
  <si>
    <t>Закупівля без використання електронної системи</t>
  </si>
  <si>
    <t>Звіт створено 27 лютого о 08:39 з використанням http://zakupivli.pro</t>
  </si>
  <si>
    <t>Знаки поштової оплати</t>
  </si>
  <si>
    <t>КАЛИНЮК ОЛЕНА ОЛЕКСАНДРІВНА</t>
  </si>
  <si>
    <t>КЛЕЩЕНКО ОЛЕКСАНДР ВАЛЕРІЙОВИЧ</t>
  </si>
  <si>
    <t>КОЗАК РОСТИСЛАВ ОРЕСТОВИЧ</t>
  </si>
  <si>
    <t>КОЛОКОТ РОМАН ГРИГОРОВИЧ</t>
  </si>
  <si>
    <t>КОМУНАЛЬНЕ ПІДПРИЄМСТВО "ГОСПРОЗРАХУНКОВЕ ПРОЕКТНО-ВИРОБНИЧЕ АРХІТЕКТУРНО-ПЛАНУВАЛЬНЕ БЮРО"</t>
  </si>
  <si>
    <t>КОМУНАЛЬНЕ ПІДПРИЄМСТВО "МИКОЛАЇВКОМУНТРАНС"</t>
  </si>
  <si>
    <t>КОМУНАЛЬНЕ ПІДПРИЄМСТВО ТЕЛЕРАДІОКОМПАНІЯ "МАРТ"</t>
  </si>
  <si>
    <t>КОМУНАЛЬНЕ СПЕЦІАЛІЗОВАНЕ МОНТАЖНО-ЕКСПЛУАТАЦІЙНЕ ПІДПРИЄМСТВО</t>
  </si>
  <si>
    <t>КОРОЛЬОВ ОЛЕКСІЙ СЕРГІЙОВИЧ</t>
  </si>
  <si>
    <t>КОРШУНОВ ДМИТРО ВОЛОДИМИРОВИЧ</t>
  </si>
  <si>
    <t>КОЧАРЯН ГАРІК ВІЛЕНОВИЧ</t>
  </si>
  <si>
    <t>Кабель КГНВ 1×95 мм; видалене; видалене; Провід ПВС 3х1,5 мм; Провід ПВС 3х2,5 мм; Провід ПВС 4х4 мм; Провід ПВС 2х2,5 мм; Провід ПВС 2х1,5 мм; Провід ПВС 2х4 мм; Провід ПВС 3х4 мм; Провід ПВС 4х2,5 мм; Провід ПВ 3 1×1 мм; Провід ПВ 3 1×1,5 мм; Провід ПВ 3 1×2,5 мм; Провід ППСРВМ 1×10(660В)мм; Провід ППСРВМ 1×35(660В)мм; Провід ППСРВМ 1×50(660В)мм; Кабель АВВГ  2×2,5 мм; Кабель АВВГ  2×4 мм; Кабель АВВГ  2×6 мм; Кабель АВВГ  3×2,5 мм; видалене; видалене; видалене; видалене; видалене; видалене; видалене; видалене; видалене; видалене; видалене; видалене; видалене; видалене; видалене; видалене; видалене; видалене; видалене; видалене; видалене; видалене; видалене; видалене; видалене; видалене; Провід ПСДКТ-Л 1,60*3,15; Провід ПСДКТ-Л 1,60*4,75; Провід ПСДКТ-Л 2,0; видалене; видалене; видалене; видалене; видалене; видалене; видалене; видалене; Кабель мережевий ALAY-net-AT U/UTP CAT. 5E 4*2*24 AWG (бухта 305м.); Кабель мережевий OK-Net UTP cat.5e зовнішній (бухта 305м.); Кабель UT008-SM-16 (оптичний, 8 вол); видалене; видалене</t>
  </si>
  <si>
    <t>Кабель канал 25*25 (пластик); Кабель канал 40*40 (пластик); Кабель канал 10*10 (пластик); Коробка розподільча АСКО 300*250*120; Коробка розподільча АСКО 100*100*70; Бокс під автомати КМПн 1/2 на 2 модулі навісний/ прозора кришка TNSy; Бокс під автомати КМПн 2/4 на 4 модулі навісний/ прозора кришка TNSy; Бокс під автомати LEZARD 4 модуля 148*155*92; Автоматичний вимикач УКРЕМ ВА-2017/С1р16А АСКО; Автоматичний вимикач УКРЕМ ВА-2017/С2р16А АСКО; Автоматичний вимикач УКРЕМ ВА-2017/С3р32А АСКО; Вимикач світла одинарний накладний; Вимикач світла подвійний накладний; Труба гофрована d 20 ПВХ; Труба гофрована d 16 ПВХ</t>
  </si>
  <si>
    <t>Кабельний канал 15х10 (200) Standard; Кабельний канал 16х16 (180) Standard; Кабельний канал 25х16 (120) Standard; Кабельний канал 40х40 (40) Standard; Кабельний канал 25х25 (80) Standard; Шина нульова e.bs.stand.1.12 12 отв.; Наконечник кільцевий з ізоляцією RV2-6 (1,5-2,5/6) синій (100 шт.); Термоусаджувальна трубка e.termo.stand.2.1.black 2/1, 1м, чорна; Термоусаджувальна трубка e.termo.stand.4.2.black 4/2, 1м, чорна; Термоусаджувальна трубка e.termo.stand.6.3.black 6/3, 1м, чорна; Термоусаджувальна трубка e.termo.stand.8.4.black 8/4, 1м, чорна; Термоусаджувальна трубка e.termo.stand.25.12,5.black 25/12,5 1м, чорна; Мідний кабельний наконечник е.end.stand.sc.6; Мідний кабельний наконечник е.end.stand.sc.10; Мідний кабельний наконечник е.end.stand.sc.16; Мідний кабельний наконечник е.end.stand.sc.25; Мідний кабельний наконечник е.end.stand.sc.35; Мідний кабельний наконечник е.end.stand.sc.50; Мідний кабельний наконечник е.end.stand.sc.70; Наконечники під гвинт з ізоляцією RV 2-4 (100 шт.); Наконечники під гвинт з ізоляцією RV 2-5 (100 шт.); Ізольований наконечник e.terminal.stand.rv3.3,5.6.blue 2.5-4 кв. мм, синій, 100шт; Ізольований наконечник e.terminal.stand.RV5.5.6 4-6.yellow кв. мм, жовтий, 100шт; Конектори повністю ізольовані FDFD 2-250 'мама' (100 шт.); Конектори МDD2 -250 6,35x0,5/0,8 (100 шт.); Термоусаджувальна трубка e.termo.stand.12.6.black 12/6, 1м, чорна; Термоусаджувальна трубка e.termo.stand.20.10.black 20/10, 1м, чорна; Термоусаджувальна трубка e.termo.stand.30.15.black, 30/15, 1м, чорна; Термоусаджувальна трубка e.termo.stand.40.20.black 40/20, 1м, чорна; Термоусаджувальна трубка e.termo.stand.50.25.black 50/25, 1м, чорна; Кабельна стяжка e.ct.stand.150.3.black (100шт); Кабельна стяжка e.ct.stand.200.3.black (100шт), чорна; Кабельна стяжка e.ct.stand.300.5.black (100шт), чорна; Кабельна стяжка e.ct.stand.500.8.white (100шт), біла</t>
  </si>
  <si>
    <t>Камера VIVOTEK IB9380-H (об’єктив 6мм); Камера VIVOTEK IB9380-H; Камера VIVOTEK IT9380-H (3.6mm); Реєстратор VIVOTEK ND9542p (32 канала)</t>
  </si>
  <si>
    <t>Канат сталевий оцинкований ф 6,8</t>
  </si>
  <si>
    <t>Код CPV</t>
  </si>
  <si>
    <t>Колесо черв’ячне редуктора двері (бронза) КТМ5; Колесо черв’ячне редуктора двері (бронза) КТМ8; Зірочка приводу дверей КТМ провідна; Зірочка приводу дверей КТМ ведена; Хрестовина карданного валу ТЗ; Хрестовина карданного валу КТМ; Хвостовик ТЗ 01-002-005; Хвостовик КТМ 605.09.33.221; Барабан гальмівний 605.09.98.493; Фланець гальмівного барабану КТМ 605.09.92.491; Педаль ходу 965 100 002 0; Блок керування ТЗ 12503038 А8; Вкладиш М-подібний вагону Т-3 01-002-099; Вкладиш П-подібний вагону Т-3 01-002-128; Вкладиш П-подібний вагону КТМ 605.09.16.000; Сайлент блок d-108 01.002.057 Т-3; Пильник гальмівного механізму Т-ЗМ (25-090-006); Сайлент-блок МРТ ТЗ з металевою втулкою 10.23А.00.000.001; Профіль буксовий 15 мм (суцільний) КТМ 605.09.00.028; Подушка ізолятора ТЕД ЛАЗ; Вкладиш шкворневої балки ТЗ циліндричний; Задній підшипниковий щит ТЕ-022; Стакан підшипника 103Т-2402049; Елемент підвіски трамваю КТМ 605.09.00.027; Елемент підвіски трамваю КТМ 605.09.00.026; Елемент підвіски рейкового гальма трамваю КТМ; Елемент підвіски трамваю КТМ 605.09.40.490; Розподільник 334-015-02IL-U77 у зборі з глушником; Розподільник 358-V11-02S05-G73-UA01 у зборі з глушниками та фітингами; Ремкомплект ступиці тролейбусу ЛАЗ повний; Амортизатор трамвайного вагону ТЗМ; Втулка 129710; Поводок з щіткою склоочисника тролейбусу ЛАЗ; Водило 54326-2405029 (з сателітами та підшипниками); Кутовий редуктор 101-3426010; Головна пара тролейбуса 103Т-2402020-10; Прижимний диск маточини колісної пари T3UA.09.13.00.00.00; Маточина колісної пари T3UA.09.13.00.00.00; Центр маточини трамвайного колеса Т3; Ексцентрик У37 КТМ</t>
  </si>
  <si>
    <t>Коло 140 ст 45</t>
  </si>
  <si>
    <t>Комплексні інженерно-геодезичні вишукування забудованої території по об'єкту: "Кінцева зупинка з диспетчерським пунктом по вул. Айвазовського ріг пр. Корабелів в Корабельному районі м. Миколаєва" та Схема розміщення території по об'єкту: "Кінцева зупинка з диспетчерським пунктом по вул. Айвазовського ріг пр. Корабелів в Корабельному районі м. Миколаєва"</t>
  </si>
  <si>
    <t>Комплексні інженерно-геодезичні вишукування забудованої території по об'єкту: "Нове будівництво мереж електропостачання земельної ділянки за адресою: м. Миколаїв, вул. Айвазовського ріг пр. Корабелів"</t>
  </si>
  <si>
    <t>Конденсатор HJ680uF400V</t>
  </si>
  <si>
    <t>Кондиціонер ES 421XW-EC для охолодження пасажирських салонів в рухомому складі громадського транспорту довжиною 10-12м., із статичним перетворювачем CDD/A.0-D-I/N-600-28/400-75/30; Кондиціонер ES 50-ЕС для охолодження кабіни водія рухомого складу громадського транспорту, із статичним  перетворювачем CDD.0-D-I-600-28-150-РСН</t>
  </si>
  <si>
    <t>Корольова Ірина Володимирівна</t>
  </si>
  <si>
    <t>Круг абразивний шліфувальний 200*20*32; Круг відрізний 125*1.2*22.23; Круг відрізний 150*1.6*22.23; Круг відрізний 230*2.5*22.23; Круг абразивний відрізний 300*3.0*25.4; Круг абразивний зачисний 125*6*22.23; Круг абразивний зачисний 150*6*22.23; Круг пелюстковий торцевий КТЛ 125*22.2*Р60; Круг абразивний шліфувальний 300*40*76; Круг відрізний 125*1.6*22.23; Круг відрізний 230*2.0*22.23; Круг шліфувальний 175*20*32; Круг шліфувальний 175*10*32; Круг шліфувальний 150*16*32; Круг шліфувальний тарілчастий 150*16*32; Круг алмазний чашечний конічний 150*40*20*3*32 з кутом 45</t>
  </si>
  <si>
    <t xml:space="preserve">Кухонний змішувач U (k35) QT Uno CRM 008; Американка 20*1/2в (Thermo Alliance); Змішувач на умивальник (k40) лат.Lidz 
(CRM) Premiera 84 001
; Змішувач душовий (б) QT Arena CRM 010 
; Кухонний змішувач на гайці 15см (k40) лат. 
Lidz (CRM) Cosmos 80 003 01
; Кран,вентил.букса кутовий,хром. 1/2"зз д/прилад. 
SF3441515 SD Forte 
; Змішувач на умивальник на гайці(k35) 
Lidz (CRM) 14 34 001F (14 34 001 00)
; Кран кульовий з америк. прямий метелик латун. нікелір. 
3/4"зв PN40 SD220NW20PN40 SD Plus
; Кран кульовий для поливу ручка-важіль нікел. 1/2"з 
х під шланг SV140W15 Valve
; Кран кульовий з америк. прямий метелик латун. 
нікелір.1"зв PN40 SD220NW25PN40 SD Plus
; Кран кульовий з америк  прямий метелик латун. нікелір. 
1/2"зв PN40 SD220NW15PN40 SD Plus
; Кран кульовий для поливу ручка-важіль
 нікел. 3/4"з х під шланг SV140W20 Valve
; Кульовий кран 1/2 БГШ вода SF607W15 SD FORTE
; Кульовий кран 1/2 БГГ вода SF602W15 SD FORTE
; Кульовий кран3/4 РГГ вода SF600W20 SD FORTE
; Кульовий кран 3/4 БГШ вода SF607W20 SD FORTE
; Кульовий кран 1 1/4 РГШ вода SF605W32 SD FORTE
; Кульовий кран1 1/2 РГШ вода SF605W40 SD FORTE
; Кульовий кран 2" РГШ вода SF605W50 SD FORTE
; Кульовий кран 1" РГШ вода SD605W25 
SD FORTE
</t>
  </si>
  <si>
    <t>Кінцева термоусаджувальна муфта для одножильного кабелю з паперовою ізоляцією на напругу до 1 кВ з бронею 1КВНТпН-1(500-800) з кінцевіком (800) під зривний гвинт; З'єднувальна термоусаджувальна муфта для одножильного кабелю з паперовою ізоляцією на напругу до 1 кВ з бронею 1СТп-1(500-800) з гільзою (800) під зривний гвинт; З'єднувальна муфта для багатожильного кабелю з паперовою ізоляцією 10Стп-9 (3/150-240) з гільзами під зривний гвинт; Кінцева муфта внутрішнього встановлення з паперовою ізоляцією 10КВТпН-9 (3/150-240) з наконечниками під зривний гвинт</t>
  </si>
  <si>
    <t>Л-1224/16</t>
  </si>
  <si>
    <t>Л-2498/16</t>
  </si>
  <si>
    <t>ЛУГОВЕНКО ІГОР ІГОРОВИЧ</t>
  </si>
  <si>
    <t>Лампа TL-D 18W/54-765 1SL/25; Лампа TL-D 36W/54-765 1SL/25; Лампа Іскра МО-36V 60W E27; LED лампа А60 Е27 10Вт 4100К; LED лампа TITANUM A80 18 W E27 4100K; LED лампа T8 120см 6500К/18 Вт/1620 Лм/210; LED лампа T8 60см 6500К/9 Вт; Лампа Osram H15 24V 20/60 W V64177; Лампа Osram H1 24V 70 W; Лампа Osram H3 24V 70 W; Лампа Osram H4 24V 70 W P43t; Лампа Osram H7 24V 70 W; Лампа OSR6424X10K; Лампа Osram приладової панелі; Лампа Osram W5W; Лампа Osram T4W; Лампа Osram R5W; Лампа Osram R21W; Лампа Osram 7537 P21/5W 24V BAY15d</t>
  </si>
  <si>
    <t>М/п конструкція 2,2*0,83</t>
  </si>
  <si>
    <t>МІСЬКЕ КОМУНАЛЬНЕ ПІДПРИЄМСТВО "МИКОЛАЇВВОДОКАНАЛ"</t>
  </si>
  <si>
    <t>МАКАРУК СЕРГІЙ МИКОЛАЙОВИЧ</t>
  </si>
  <si>
    <t>МЕЗОН 99</t>
  </si>
  <si>
    <t>МИКОЛАЇВСЬКА РЕГІОНАЛЬНА ДЕРЖАВНА ЛАБОРАТОРІЯ ДЕРЖАВНОЇ СЛУЖБИ УКРАЇНИ З ПИТАНЬ БЕЗПЕЧНОСТІ ХАРЧОВИХ ПРОДУКТІВ ТА ЗАХИСТУ СПОЖИВАЧІВ</t>
  </si>
  <si>
    <t>МКЛ/БЛ-4017</t>
  </si>
  <si>
    <t>МКЛ/БЛ-4152</t>
  </si>
  <si>
    <t>МУДРИЧЕНКО ОЛЬГА ОЛЕКСАНДРІВНА</t>
  </si>
  <si>
    <t>МФ-60-0046</t>
  </si>
  <si>
    <t>МФ-70-0055</t>
  </si>
  <si>
    <t>МФ-93-0023</t>
  </si>
  <si>
    <t>Мегаомметр 0202/1Г</t>
  </si>
  <si>
    <t>Мембрана супердифузійна ; Стрічка підконькова; Лист гладкий ; Профлист покрівельний посилений; Планка з полімерним покриттям; Планка з полімерним покриттям</t>
  </si>
  <si>
    <t>Металлтрейд</t>
  </si>
  <si>
    <t xml:space="preserve">Модульна конструкція (збірно – розбірна) для розміщення диспетчерського пункту (МАФ) </t>
  </si>
  <si>
    <t>Модулятор ВА2460-3500110-01; Клапан електромагнітний ASR ВА 2460-3500110-00; Клапан KNORR SV1493; Клапан прискорюючий АС574АХУ; Клапан 4-х контурний 64221-3515310; Регулятор положення кузову SV1470; Осушувач повітря LA8222; Вологооливовідділювач 103-3511110-10; Втулка шкворня 0730260702; Втулка шкворня Н-60; Втулка шкворня Н-70; Палець важеля передньої підвіски 101-2904400; Подушка амортизатора 101-2905692; Шкворінь поворотної цапфи 14ТР; Шкворінь у комплекті 4370-3001019; Шкворінь поворотної цапфи 64221-3001019; Шкворінь поворотної цапфи 4474 385019Н; Шарнір штанги реактивної 103-2919040; Сайлентблок реактивної штанги 14ТР; Шарнір штанги реактивної 101-2909040; Кільце стопорне 101-2909032; Кільце регулююче 101-2909034; Кільце розтискне 118.34-3310-131; Головка реактивної штанги 101-2909021; Верхня реактивна штанга 23.03.038; Нижня реактивна штанга 23.03.039; Датчик тиску WABCO 4410441020; Клапан контрольний  101-3515410; Датчик індуктивний BES 0064; Клапан тиску Honeywell MIPAG1XX010BSAAX ; Датчик пневматичний сигнала гальм 6052.3829-01 (байонет); Датчик аварійного тиску ВП124 (байонет); Датчик аварійного тиску  ММ124; Клапан КЕМ 16/20 (байонет); Клапан обмеження тиску 4750100110 WABCO; Кронштейн кріплення штанги реактивної 103-2919090; Вкладиш шкворневої балки трамвайного вагону Т-3 конічний; Вкладиш шкворневої балки трамвайного вагону Т-3 циліндричний; Вкладиш шкворневої балки трамвайного вагону КТМ циліндричний; IIIтангоуловлювач КХЛ 112212000</t>
  </si>
  <si>
    <t>Моноблок</t>
  </si>
  <si>
    <t>Муфта. 20*1/2н (Thermo Alliance); Труба SDR. 6 3.4 мм PN20 * 20 (Т.А.); Муфта. 25*1/2н (Thermo Alliance); Труба ПП 110х2.7 (3,000м) 1рез TA Sewage; Сифон для умивальника LU01 (60 06 Y001 01) випуск 70 мм без гайки, колбовий (вихід гофра 40/50мм) Lidz; Планка під змішувач 20*1/2в (Thermo Alliance); Труба SDR. 6 4.2 мм PN20 * 25 (Т.А.); Труба ПП 50х1.8 (1,000м) 1рез TA Sewage; Коліно 45° 110х110 (1рез) TA Sewage; Куток 20 * (45) (Thermo Alliance); Куток 25 * (45) (Thermo Alliance); Заглушка 50 TA Sewage; Труба ПП 110х2.7 (0,315м) 1рез TA Sewage; Шланг для води, нержавіюча оплітка в силіконі М10*50 см (пара) SF380W50 SD FORTE ; Шланг для води, нержавіюча оплітка в силіконі  М10*60 см (пара) SF380W60 SD FORTE ; Шланг для води, нержавіюча оплітка в силіконі  М10*80 см (пара) SF380W80 SD FORTE ; Шланг для води, нержавіюча оплітка в силіконі 50 см гг SF381W50 SD FORTE ; Шланг для води, нержавіюча оплітка в силіконі  60 см гг SF381W60 SD FORTE ; Шланг для води, нержавіюча оплітка в силіконі  80 см гг SF381W80 SD FORTE ; Коліно 90° 50х50 (1рез) TA Sewage; Бухта 16 б/шовн.* PEXAL SD300W16; Бухта 20 б/шовн.* PEXAL SD300W20; Труба ПП 110х2.7 (0,500м) 1рез TA Sewage; Трійник 90° 50х50х50 (2рез) TA Sewage; Труба ПП 50х1.8 (0,315м) 1рез TA Sewage; Куток 20 * (90) (Thermo Alliance); Коліно 90° 110х110 (1рез) TA Sewage; Кріплення U д/труб 25 (В.О.); Куток 25 * (90) (Thermo Alliance); Трійник 20 (Thermo Alliance); Перехідник 16*1/2в* NTM SV1531615 Valve; Перехідник 16*1/2н* NTM SV1541615 Valve; Перехідник 20*1/2в* NTM SV1532015 Valve; Перехідник 20*1/2н* NTM SV1542015 Valve; Трійник 25 (Thermo Alliance); Труба ПП 50х1.8 (0,500м) 1рез TA Sewage; Трійник 90° 110х110х110 (2рез) TA Sewage; Гофра армована для унітазу D-110 мм, довжина 370мм Lidz (WHI) 60 01 G001 00; Муфта. 20*1/2в (Thermo Alliance); Муфта. 25*1/2в (Thermo Alliance); Труба ПП 110х2.7 (1,000м) 1рез TA Sewage; Труба ПП 50х1.8 (2,000м) 1рез TA Sewage; Труба ПЕ д20 пн 10; Труба ПЕ д25 пн 10; Труба ПЕ д32 пн 10; Труба ПЕ д50 пн 10; Трійник 20*2 х 20*2 х 20*2 д/металопласт. труб №546 Icma; Кут латун. нікелірован. д/металопласт. труб 16х16 SD155W1616 SD Plus; Кут латун. нікелірован. д/металопласт. труб 20х20 SD155W2020 SD Plus; Клапан зворот. ходу, з латун. штоком 1/2"в SF240W15 SD Forte; Клапан зворот. ходу, з латун. штоком 1 1/4"в SF240W32 SD Forte ; Муфта перехідна латун. нікелірована д/металопласт. труб 16 х1/2"з SV1541615 Valve; Клапан зворот. ходу нікел. з латун. штоком. 3/4"в SF240NW20 SD Forte; Фільтр косий грубої очистки латун. 3/4"в д/труб SD124W20 SD Plus; Муфта перехідна 3/4"з х16*2 д/металопласт. труб №531 Icma; Труба ПЕ д63 пн10; Трійник 45° 110х110х110 (2рез) TA Sewage; Коліно 45° 50х50 (1рез) TA Sewage; Заглушка 110 TA Sewage; Труба ПП 50х1.8 (3,000м) 1рез TA Sewage; Труба ПП 110х2.7 (2,000м) 1рез TA Sewage</t>
  </si>
  <si>
    <t>Місячні проїзні квитки, 15-денні проїзні квитки на трамвай та тролейбус</t>
  </si>
  <si>
    <t>Мітчик для метричної різьби гайковий  М 4; Мітчик для метричної різьби гайковий М 5; Мітчик для метричної різьби гайковий М 6; Мітчик для метричної різьби гайковий  М 8; Мітчик машинно-ручний для нарізання метричної різьби з прохідним хвостовиком  М 8*1; Мітчик для метричної різьби гайковий  М 10; Мітчик машинно-ручний для нарізання метричної різьби з прохідним хвостовиком М 10*1,25; Мітчик машинно-ручний для нарізання метричної різьби з прохідним хвостовиком М 10*1,5; Мітчик для метричної різьби гайковий М12х1,75; Мітчик для метричної різьби гайковий М 12*1,75; Мітчик машинно-ручний для нарізання метричної різьби з прохідним хвостовиком М 12*1,75; Мітчик для метричної різьби гайковий М 12*1,5; Мітчик для метричної різьби гайковий М 14*2; Мітчик машинно-ручний для нарізання метричної різьби з прохідним хвостовиком  М 14*2; Мітчик для метричної різьби гайковий М 14*2; Мітчик машинно-ручний для нарізання метричної різьби з прохідним хвостовиком М 14*1,5; Мітчик для метричної різьби гайковий М 16*2; Мітчик для метричної різьби гайковий М 16*2; Мітчик машинно-ручний для нарізання метричної різьби з прохідним хвостовиком М 16*1,5; Мітчик машинно-ручний для нарізання метричної різьби з прохідним хвостовиком М 18*1,5; Мітчик машинно-ручний для метричної різьби з прохідним хвостовиком М 18*2,5; Мітчик машинно-ручний для метричної різьби з прохідним хвостовиком 
М 18*1,25
; Мітчик машинно-ручний для метричної різьби з прохідним хвостовиком 
М 18*1
; Мітчик машинно-ручний для нарізання метричної різьби з прохідним хвостовиком М 20*2
; Мітчик машинно-ручний для метричної різьби з прохідним хвостовиком 
М 20*1,5
; Мітчик для метричної різьби гайковий М 22*2,5
; Мітчик машинно-ручний для метричної різьби з прохідним хвостовиком 
М 22*1,5
; Мітчик машинно-ручний для нарізання метричної різьби з прохідним хвостовиком М 24*1,5
; Мітчик машинно-ручний для нарізання метричної різьби з прохідним хвостовиком М 24*3
; Мітчик машинно-ручний для нарізання метричної різьби з прохідним хвостовиком М 24*2
; Мітчик машинно-ручний для нарізання метричної різьби з прохідним хвостовиком М 27*1,5
; Мітчик машинно-ручний для нарізання метричної різьби з прохідним хвостовиком М 27*2
; Мітчик машинно-ручний для нарізання метричної різьби з прохідним хвостовиком М 30*1,5
; Мітчик машинно-ручний для нарізання метричної різьби  М 39*2
; Центр верстатний №3, А-1-3Н
; Патрон св. D(3-16мм) /конус В18
; Розвертка ручна регульована 19-21 
; Розвертка ручна регульована 26-29,5
; Розвертка ручна регульована 23-26; Розвертка ручна регульована 21-23; Різець прохідний відігнутий 25*16*140 Т15К6; Різець прохідний відігнутий 25*16*140 ВК8; Різець прохідний відігнутий 25*16*140 Т5К10; Різець різьбовий зовнішній 25*16*140 Т5К10; Різець  різьбовий зовнішній 25*16*140 Т15К6; Різець  різьбовий зовнішній 25*16*140 ВК8; Різець прохідний упорний зігнутий (тип2) 25*16*140 Т5К10; Різець  прохідний упорний зігнутий (тип2) 25*16*140  Т15К6; Різець  прохідний упорний зігнутий (тип2) 25*16*140 ВК8; Різець відрізний 25*16*140 Т15К6; Різець  відрізний 25*16*140 Т5К10; Різець  відрізний 25*16*140 ВК8; Проволока пломбірувальна ; Свердло ц/х 3,5мм; Свердло ц/х 4мм; Свердло ц/х 4,2мм; Свердло ц/х 4,5мм; Свердло ц/х 5мм; Свердло ц/х 6мм; Свердло ц/х 6,6мм; Свердло ц/х 7мм; Свердло ц/х 8мм; Свердло ц/х 8,2мм; Свердло ц/х 8,5мм; Свердло ц/х 9мм; Свердло ц/х 10мм; Свердло ц/х 10,2мм; Свердло ц/х 10,5мм; Свердло ц/х 12мм; Свердло ц/х 12,5мм; Свердло ц/х 14мм; Свердло ц/х 14,5мм; Свердло ц/х 15,5мм; Свердло ц/х 16мм; Свердло ц/х 16,5мм; Свердло ц/х 18мм; Свердло ц/х 18,5мм; Свердло к/х 20мм; Свердло к/х 20,5мм; Свердло к/х 21мм; Свердло к/х 22,5мм; Свердло к/х 36,5мм; Свердло конусове ступеневе 6-38мм; Плашка кругла для метричної різьби М4; Плашка кругла для метричної різьби  М5; Плашка кругла для метричної різьби  М6; Плашка кругла для метричної різьби М8х1,25; Плашка кругла для метричної різьби М8х1,25; Плашка кругла для метричної різьби М10х1,25; Плашка кругла для метричної різьби М10х1,5; Плашка кругла для метричної різьби М10х1,5; Плашка кругла для метричної різьби М12х1; Плашка кругла для метричної різьби М12х1,25; Плашка кругла для метричної різьби М12х1,5; Плашка кругла для метричної різьби М12х1,75; Плашка кругла для метричної різьби М14х1,25; Плашка кругла для метричної різьби М14х1,5; Плашка кругла для метричної різьби М14х2; Плашка кругла для метричної різьби М14х2; Плашка кругла для метричної різьби М16х2; Плашка кругла для метричної різьби М16х2; Плашка кругла для метричної різьби М18х1,5; Плашка кругла для метричної різьби М18х1,5; Плашка кругла для метричної різьби М18х2; Плашка кругла для метричної різьби М18х2,5; Плашка кругла для метричної різьби М20х1,5; Плашка кругла для метричної різьби М20х2; Плашка кругла для метричної різьби М22х1,5; Плашка кругла для метричної різьби М22х2,5; Плашка М24*2,5; Плашка кругла для метричної різьби М24х1,5; Плашка кругла для метричної різьби М24х3; Плашка кругла для метричної різьби М27х3; Плашка М27*1,5; Плашка М30*2; Плашка М39*2; Мітчик гайковий прямий М27 ; Мітчик гайковий прямий М24; Мітчик гайковий прямий М16</t>
  </si>
  <si>
    <t>НІКОЛАЄВА АНГЕЛІНА СТАНІСЛАВІВНА</t>
  </si>
  <si>
    <t>НАВЧАЛЬНО-МЕТОДИЧНИЙ ЦЕНТР ЦИВІЛЬНОГО ЗАХИСТУ ТА БЕЗПЕКИ ЖИТТЄДІЯЛЬНОСТІ МИКОЛАЇВСЬКОЇ ОБЛАСТІ</t>
  </si>
  <si>
    <t>НАЦІОНАЛЬНА АКЦІОНЕРНА СТРАХОВА КОМПАНІЯ "ОРАНТА</t>
  </si>
  <si>
    <t>НЕСТЕРЕНКО ОКСАНА АНАТОЛІЇВНА</t>
  </si>
  <si>
    <t>НМ-208</t>
  </si>
  <si>
    <t>НТМ00005264</t>
  </si>
  <si>
    <t>Надання послуг з авторського нагляду за об’єктом: поточний ремонт   з  благоустрою   трамвайного   полотна та прилеглої до нього території після проведення поточного   ремонту    у двох    напрямках    у   м. Миколаїв, вул. Потьомкінська від вул. 3-я Слобідська до вул. 1-а Воєнна</t>
  </si>
  <si>
    <t>Накладка двоголова до рейок типів Р-65 ; Болт колійний М 27*160 в зборі; Прокладка гумова ПНЦПД</t>
  </si>
  <si>
    <t>Наліпка "Висока напруга" оракал</t>
  </si>
  <si>
    <t>Напальчник латексний; Вата 50 г н/ст; Бинт перев’язочний 5м*10см н/ст, ; Бинт перев’язочний 7м*14см н/ст; Бинт перев’язочний 7 м *14см стер; Пластир котуш. 2,5см*9,1м; Пластир 1,9см*7,2см; Рукавички оглядові н/ст. латексні непудрові</t>
  </si>
  <si>
    <t>Напівчеревики; Черевики із завищеними берцями (зимові) ; Черевики для зварювальників ; Чоботи утеплені жіночі</t>
  </si>
  <si>
    <t>Насоси ГУР 130-3407200</t>
  </si>
  <si>
    <t>Немає лотів</t>
  </si>
  <si>
    <t>Нове будівництво станції тимчасової стоянки та зарядки міського електротранспорту КП ММР «Миколаївелектротранс» по вул. Айвазовського ріг пр. Корабелів в м. Миколаєві</t>
  </si>
  <si>
    <t>Номер договору</t>
  </si>
  <si>
    <t>ОЛІЙНИКОВ ЄВГЕН ІГОРОВИЧ</t>
  </si>
  <si>
    <t>ОСТРОВЕРХОВ ДМИТРО ВАЛЕРІЙОВИЧ</t>
  </si>
  <si>
    <t>Охолоджуюча рідина Тосол LEO OIL 1л; Охолоджуюча рідина Тосол 10 кг; Олива моторна LEO OIL М10Г2к 20 л; Синтетична моторна олива FOSSER Premium VS 5W-40 1л; Синтетична моторна олива FOSSER Premium LA 5W-40 20л; Олива моторна  WEXOIL WAVE 4Т 10W30  1л; Напівсинтетична моторна олива FOSSER Drive TS 10W-40  5л; Гальмівна рідина FOSSER Synthetic Brake Fluid DOT4  1л; Олива трансмісійна WANTOIL ТАД-17И 20л; Мультифункціональне мастило VITANO V804 VD-40 Multi  Function Spray  (спрей)  450мл; Рідина в пневмосистему WABCO 1л; Олива трансмісійна LEO OIL Нігрол 3л ; Олива трансмісійна LEO OIL Тап15 20л; LEOIL Speed Power Dexron II 1л; Трансмісійна олива FOSSER Dexron D VI 20л  ; Трансмісійна олива FOSSER Dexron D III-H rot 20л ; Трансмісійна олива FOSSER Gear Oil SMT 75W-80 GL 4 20л; Олива компресорна E-OIL КС-19 у кан.17,5кг(20л); Мастило YUKO Солідол жировий  17кг відро  (20л)  жерсть; Мастило Літол-24  LEOIL  у відрі 7кг; Мастило графітне відро 17 кг; Олива індустріальна LEO OIL И40А 20л; Олива індустріальна LEO OIL І20А 20л.; Олива гідравлічна LEO OIL МГЕ 46 20л; Синтетична моторна олива FOSSER Premium GM 0W-20 1л ; Напівсинтетична моторна олива FOSSER Drive TS 10W-40 1л ; Моторна олива для вантажівок FOSSER Drive Turbo Plus LA 10W-40 20л; Олива трансмісійна LEO OIL Forse  MP MTF SAE 80W-90  GL-4/GL-5 1л; Олива компресорна YUKO PRESSURE 46 17,5 кг (20л); Мастило FOSSER Mehrzweckfett EP 2 (15 кг); Олива універсальна YUKO UTTO 80W API GL-4 17,5 кг (20л)</t>
  </si>
  <si>
    <t>П 05/11</t>
  </si>
  <si>
    <t>ПІДПРИЄМСТВО ОБ'ЄДНАННЯ ГРОМАДЯН "ЦИТАДЕЛЬ" ГРОМАДСЬКОЇ ОРГАНІЗАЦІЇ "СПІЛКА ОСІБ З ІНВАЛІДНІСТЮ, ВЕТЕРАНІВ ПОЖЕЖНОЇ ОХОРОНИ ТА СЛУЖБИ ЦИВІЛЬНОГО ЗАХИСТУ"</t>
  </si>
  <si>
    <t>ПІК ПК</t>
  </si>
  <si>
    <t>ПКІ пристрій безперервного контролю опору ізоляції тролейбуса при русі</t>
  </si>
  <si>
    <t>ПОГРОМСЬКА ЛЮБОВ АРТУРІВНА</t>
  </si>
  <si>
    <t>ПП "ІНАУТ"</t>
  </si>
  <si>
    <t>ПП "Ап сервыс"</t>
  </si>
  <si>
    <t>ПРАТ "СК "ЄВРОІНС УКРАЇНА"</t>
  </si>
  <si>
    <t>ПРИВАТНА КОМЕРЦІЙНО-ВИРОБНИЧА ФІРМА "СОРБПОЛІМЕР"</t>
  </si>
  <si>
    <t>ПРИВАТНЕ АКЦІОНЕРНЕ ТОВАРИСТВО "АРТСЕРВІС"</t>
  </si>
  <si>
    <t>ПРИВАТНЕ АКЦІОНЕРНЕ ТОВАРИСТВО "КИЇВСТАР"</t>
  </si>
  <si>
    <t>ПРИВАТНЕ АКЦІОНЕРНЕ ТОВАРИСТВО "СТРАХОВА КОМПАНІЯ "САЛАМАНДРА"</t>
  </si>
  <si>
    <t>ПРИВАТНЕ АКЦІОНЕРНЕ ТОВАРИСТВО "ЦЕНТР КОМП'ЮТЕРНИХ ТЕХНОЛОГІЙ "ІНФОПЛЮС"</t>
  </si>
  <si>
    <t>ПРИВАТНЕ ПІДПРИЄМСТВО "АП-СЕРВІС"</t>
  </si>
  <si>
    <t>ПРИВАТНЕ ПІДПРИЄМСТВО "АСТРА-ЛАЙФ"</t>
  </si>
  <si>
    <t>ПРИВАТНЕ ПІДПРИЄМСТВО "БФ "СОВАР ГРУП"</t>
  </si>
  <si>
    <t>ПРИВАТНЕ ПІДПРИЄМСТВО "ДИКИЙ САД"</t>
  </si>
  <si>
    <t>ПРИВАТНЕ ПІДПРИЄМСТВО "ЕЛЕКТРОПРИЛАДТЕХСЕРВІС"</t>
  </si>
  <si>
    <t>ПРИВАТНЕ ПІДПРИЄМСТВО "ЗАВОД СТАЛЕВИХ КОНСТРУКЦІЙ"</t>
  </si>
  <si>
    <t>ПРИВАТНЕ ПІДПРИЄМСТВО "МЕДИЦИНА ДЛЯ ВАС"</t>
  </si>
  <si>
    <t>ПРИВАТНЕ ПІДПРИЄМСТВО "МЕМТЕХ"</t>
  </si>
  <si>
    <t>ПРИВАТНЕ ПІДПРИЄМСТВО "МИКОЛАЇВМАГІСТРАЛЬ"</t>
  </si>
  <si>
    <t>ПРИВАТНЕ ПІДПРИЄМСТВО "МОСОО"</t>
  </si>
  <si>
    <t>ПРИВАТНЕ ПІДПРИЄМСТВО "ПРОМПОДШИПНИК"</t>
  </si>
  <si>
    <t>ПРИВАТНЕ ПІДПРИЄМСТВО "ФОРПОСТ"</t>
  </si>
  <si>
    <t>ПРИВАТНЕ ПІДПРИЄМСТВО "ЦЕНТР ПУБЛІЧНИХ ЗАКУПІВЕЛЬ "ТЕНДЕР-ЕКСПЕРТ"</t>
  </si>
  <si>
    <t>ПРИВАТНЕ ПІДПРИЄМСТВО "ЮЖНИЙ АЛЬЯНС"</t>
  </si>
  <si>
    <t>ПРОГРЕСПОСТАЧ</t>
  </si>
  <si>
    <t>ПТАШНИК ВАЛЕРІЯ ОЛЕКСАНДРІВНА</t>
  </si>
  <si>
    <t>ПУБЛІЧНЕ АКЦІОНЕРНЕ ТОВАРИСТВО "КОМЕРЦІЙНИЙ БАНК "АКОРДБАНК"</t>
  </si>
  <si>
    <t>Папір шліфувальний 200мм/P40, на тканині, бухта 50м, SPITCE (або аналог); Папір шліфувальний 200мм/P80, на тканині, бухта 50м, SPITCE (або аналог); Папір шліфувальний 200мм/P120, на тканині, бухта 50м, SPITCE (або аналог); Папір шліфувальний 200мм/P180, на тканині, бухта 50м, SPITCE (або аналог); Папір шліфувальний 125мм/P40, з отв., PS 18 EK, Klingspor (або аналог); Папір шліфувальний 125мм/P60, з отв., PS 18 EK, Klingspor (або аналог); Папір шліфувальний 125мм/P80, з отв., PS 18 EK, Klingspor (або аналог); Папір шліфувальний 125мм/P120, з отв., PS 18 EK, Klingspor (або аналог); Папір шліфувальний 125мм/P180, з отв., PS 18 EK, Klingspor (або аналог); Папір шліфувальний 125мм/P240, з отв., PS 18 EK, Klingspor (або аналог); Коло відрізне по металу 125х1.6, Титан Абразив (або аналог); Коло відрізне по металу 150х1.6, Титан Абразив (або аналог); Коло відрізне по металу 180х1.6, Титан Абразив (або аналог); Коло відрізне по металу 230х2.5, Титан Абразив (або аналог); Коло відрізне по металу 300х3.0х25.4, Титан Абразив (або аналог); Коло зачисне по металу 125х6.0 (T27), Титан Абразив (або аналог); Коло зачисне по металу 150х6.0, Титан Абразив (або аналог); Коло зачисне по металу 230х6.0, Титан Абразив (або аналог); Коло пелюсткове торцеве 125мм/P40, Т29, корунд норм, Титан Абразив (або аналог); Коло зачисне для зняття фарби та іржи, 125мм, жорсткий, Титан Абразив (або аналог); Круг шліфувальний ПП 64С 300х40х76, F46CM (або аналог); Круг шліфувальний ПП 14А 300х40х127 F46CM (або аналог); Круг шліфувальний ПП 14А 400х40х203, F46CM (або аналог); Круг шліфувальний алмазний 12А2-45, 150х20х3х40х32, АС4, В2-01, 160/125 (або аналог); Круг шліфувальний алмазний 12А2-45, 150х20х3х40х32, АС4, В2-01, 125/100 (або аналог); Круг шліфувальний тарілчастий 25А Т 150х16х32 F60(25) (або аналог); Круг шліфувальний ПП 64С 175х20х32 F60СМ (або аналог); Круг шліфувальний ПП 25А 175х10х32 F46 СМ6804 (або аналог); Круг шліфувальний ПП 25А 175х20х32 F60 (або аналог)</t>
  </si>
  <si>
    <t>Перевідний механізм; Підвіс ковзаючий з ізолятором ІКП та затискачем підвісним 2-х гвинтовим латун. ПКД-2; Підвіска парна з затискачем підвісним 2-х гвинтовим оц. ППД-2; Клин вхідний КВХ-1; Клин вихідний КВ-1; Тримач кривий КД-7-1; Тримач кривий КД-5-1; Затискач з’єднувальний КС-047-3; Затискач з`єднувальний Б-12-1; Затискач стиковий тролейбусний обхоплюючого типу; Затискач струновий ЗС-1; Затискач кінцевий клиновий ЗКК-1(оцинкований); Клема вхідна стикова з кронштейном КВСК-1; Ізолятор натяжний ІН-1; Ізолятор натяжний ІН-2; Вузол підвіски поздовжньо-несучого тросу до кронштейну ВПК-1; Вузол підвіски поздовжньо-несучого тросу на гнучкій поперечині ВПП-1; Автоматична тролейбусна стрілка ТСА-16; Шина довжиною 1205 мм; Шина довжиною 270 мм; Шина довжиною 560 мм; Шина довжиною 630 мм; Стрілочна хрестовина К-20-1; Східна стрілочна хрестовина СК-1; Габаритна планка ГП-1; Затискач 2-х гвинтовий ЗПВ-2; Затискач для тросу ЗТ-1; Затискач живлячий ЗПТ-1; Ізолятор ІКП-1; Затискач КС-70-1; Ізолятор трамвайний секційний ІСТ-ДМ-1  ; Секційний ізолятортролейбусний СІ-6ДК; Секційний ізолятор тролейбусний СІ-8; Вузол кріплення кронштейна до опори ВКО-1; Підвіс двох плечовий ПДП-1; Східна тролейбусна стрілка СТС-16; Перетин УТП; Перетин трамвай - тролейбус; Секційний ізолятор тролейбусний СІ-8 ДК; Ізолятор натяжний ІН 320-1,2; Ізолятор натяжний ІН 320-1,7; Ізолятор натяжний ІН-370-1,2; Ізолятор натяжний ІН-420-1,2; Монтажний затискач МКЗ-1; Хомут діаметром 240мм; Затискач кінцевий анкеруванняна 1 провід; Хомут живлення 250 мм ХЖ 250; Хомут живлення 300 мм ХЖ 300; Фіксатор трамвайний ЗПВ; Муфта натяжна; Еластичний елемент; Кронштейн-стійка; Кронштейн-стійка (0,3 м); Роз'єднувач мережний у зборі; Вузол підвішування поздовжньо-несучого тросу до кронштейну ПНТК-1; Опорна планка з 3 отворами; Котушка перевідного механізму; Котушка ізолятора секційного; Кронштейн тролейбусний L 5 м; Кронштейн тролейбусний L 6,5 м; Уловлювач тролейбусних штанг</t>
  </si>
  <si>
    <t>Переможець (назва)</t>
  </si>
  <si>
    <t>Погромська Любов Артурівна</t>
  </si>
  <si>
    <t xml:space="preserve">Полікарбонат прозорий стільниковий </t>
  </si>
  <si>
    <t>Поролон EL 35-42 2000*1200*10; Поролон EL 35-42 2000*1200*30; Вінілісшкіра мерін чорн Ш1,4</t>
  </si>
  <si>
    <t>Послуга з виготовлення та поклейки наліпок на трамвай ; Послуга з виготовлення та поклейки наліпок на тролейбус</t>
  </si>
  <si>
    <t>Послуги з атестації робочих місць за умовами праці для підтвердження права на пільги та компенсації за шкідливі та важкі умови праці</t>
  </si>
  <si>
    <t>Послуги з відстеження пасажиропотоку</t>
  </si>
  <si>
    <t>Послуги з захоронення побутових відходів</t>
  </si>
  <si>
    <t>Послуги з оформлення документів про освіту</t>
  </si>
  <si>
    <t>Послуги з проведення попередніх, періодичних та позачергових психіатричних оглядів, у т.ч. на предмет вживання психоактивних речовин (форма №100-2/о); Послуги з проведення періодичного медичного огляду щодо придатності до керування ТЗ водіїв; Послуги з проведення періодичного медичного огляду працівників зі шкідливими умовами праці; Послуги з проведення медичного огляду декретованої категорії населення</t>
  </si>
  <si>
    <t xml:space="preserve">Послуги з розміщення Рекламних матеріалів Замовника в ефірі Радіостанції </t>
  </si>
  <si>
    <t>Послуги з централізованого водопостачання</t>
  </si>
  <si>
    <t>Послуги зі встановлення скла на тролейбус Дніпро Т203</t>
  </si>
  <si>
    <t>Послуги із забезпечення громадської безпеки, охорони правопорядку та громадського порядку шляхом обслуговування і спостереження за системою сигналіації та виїзду рухомого наряду поліції охорони на об'єкт</t>
  </si>
  <si>
    <t>Поточний ремонт з відновлення асфальтобетонних покриттів вздовж трамвайної колії та прилеглої до неї території після проведення поточних ремонтів у м. Миколаєві</t>
  </si>
  <si>
    <t>ПрАТ "ВФ Україна"</t>
  </si>
  <si>
    <t>Предмет закупівлі</t>
  </si>
  <si>
    <t>Примак Анастасія Геннадіївна</t>
  </si>
  <si>
    <t>Пруток бронзовий БрАЖМц 10-3-1,5 ф20мм.; Пруток бронзовий БрАЖМц 10-3-1,5 ф40мм.; Пруток бронзовий БрАЖМц 10-3-1,5 ф50мм.; Пруток бронзовий БрАЖМц 10-3-1,5 ф60мм.; Пруток бронзовий БрАЖМц 10-3-1,5 ф80мм.; Лист мідний М1 0,8*1000*2000мм.; Лист латунний Л63 1*600*1500мм. ДПРНМ; Шина мідна М1 ШМТ 4*20*3000мм.; Шина мідна М1 ШМТ 4*40*4000мм.; Шина мідна ШМТ 10*20*3000мм.; Лист мідний М2 20*600*1500мм. ГПРХХ; Труба латунна Л63 ф70*10*3000мм. ГКРХХ</t>
  </si>
  <si>
    <t>Підкладка модифікована роздільних та костильних скріплень КБЛ 65; Підкладка ДЛ 50 проєкту Дн 954 ТУ У 30.2-14367980-023; Прокладка ПНЦПД нашпальна для дерев’яних шпал; Шайби пружинні двовиткові М25 для залізничної колії; Болт для рейкових стиків М24-8g*150.88.35 в зборі: -болт стиковий М24*150 -шайба пружинна двовиткова М25 -гайка колійна М24; Рейка NT-1 довжиною 12,5м. з двома болтовими отворами з обох кінців, вуглецева сталь марки М76 (або еквівалент); Клема колійна притискна ЛК-1; Клема колійна притискна ЛК-6; Шайба плоска ЛК; Втулка ізолююча під клему ЛК для трамвайної колії; Накладка стикова NT-1; Накладки двоголові до рейок типів Р65</t>
  </si>
  <si>
    <t>Підшипник 122; Підшипник 222; Підшипник 180105 (6005); Підшипник 180201; Підшипник 180202; Підшипник 180203; Підшипник 180205; Підшипник 180303; Підшипник 180306; Підшипник 180308; Підшипник 180309; Підшипник 27313; Підшипник 3003220; Підшипник 32310Л; Підшипник 32314Л; Підшипник 32412Л; Підшипник 32413Л; Підшипник 32615Л; Підшипник 3620; Підшипник 410; Підшипник 42308; Підшипник 6204; Підшипник 6004; Підшипник 6312; Підшипник 7312; Підшипник 609; Підшипник 1605; Підшипник 32310 J2/Q SKF; Підшипник 32310 F-P6X FERSA; Підшипник 32314 J2/Q SKF; Підшипник 32314 F-P6X FERSA; Підшипник 263706F; Підшипник 6-7206А; Підшипник 32315 SKF; Підшипник 32220 J2 SKF; Підшипник 1000916; Підшипник 33213/Q SKF; Підшипник 32314 J2/Q SKF; Підшипник 32217 J2/Q SKF; Підшипник 6-7610A; Підшипник 6-7614A; Підшипник 7308; Підшипник 180201; Підшипник 80202 ; Підшипник 6205; Підшипник 6304; Підшипник 6307; Підшипник 7220; Підшипник 4074106; Підшипник 129710</t>
  </si>
  <si>
    <t>Пісок щільний природний; Щебінь з природного каменю фракція 20-40мм.</t>
  </si>
  <si>
    <t>РЕГІОНАЛЬНА ТОРГОВО-ПРОМИСЛОВА ПАЛАТА МИКОЛАЇВСЬКОЇ ОБЛАСТІ</t>
  </si>
  <si>
    <t>Разові квитки для проїзду у трамваї та тролейбусі (для реалізації водіїв); Разові квитки для проїзду у трамваї та тролейбусі (для реалізації в точках продажу); Разові квитки для проїзду у трамваї та тролейбусі (студентські)</t>
  </si>
  <si>
    <t>Рейка  типу Р65, категорії ІІ, з сталі марки М 76 (або аналог), довжиною 12,5 м з двома болтовими отворами на обох кінцях; Болт закладний в зборі діаметром різьблення d = 22 мм, довжиною 175 мм; Болт клемний М 22 х 75 в зборі з клемою ПК; Прокладки гумові для рейкової колії типу ПНБ-3 (ЦП-328); Прокладки гумові для рейкової колії типу ПРБ-1 (ОП-356); Накладки двоголові до рейок типів Р65 (Н2 Р65); Болт для рейкових стиків М27-8g x160.88.35 в зборі; Клема колійна притискна ЛК-1; Клема колійна притискна ЛК-6К-1; Шайба плоска ЛК; Втулка ізолююча під клему ЛК для трамвайної колії; Болт для рейкових стиків М24-8gx150.88.35 в зборі ,крок різьби 2,5 мм.</t>
  </si>
  <si>
    <t>Ремонт зварювального апарату</t>
  </si>
  <si>
    <t>Рукав пожежний</t>
  </si>
  <si>
    <t>Рукавички трикотажні, помаранчеві, розмір 10; Рукавиці латексні, хімстійкі, розмір 10; Рукавиці шкіряні Крага, червоні, розмір 11; Рукавиці брезентові вогнестійкі ; Рукавиці бавовняні, брезентовий надолонник</t>
  </si>
  <si>
    <t>САВЕНЮК ІННА ВОЛОДИМИРІВНА</t>
  </si>
  <si>
    <t>САДОМОВ ОЛЕКСАНДР СЕРГІЙОВИЧ</t>
  </si>
  <si>
    <t>СОЙРІКО</t>
  </si>
  <si>
    <t>Свідоцтво про присвоєння РК, додаток до СРК</t>
  </si>
  <si>
    <t>Сидіння водія поворотне з механічним віброзахисним модулем, з підлокітником та ременем безпеки (2х точковий) СВ-1.6800015-05 ; Сидіння пасажирське напівм’яке СПН - 1.6830010 ГК (оббивка-шкірозамінник)</t>
  </si>
  <si>
    <t>Синтепон 200ш1,5; поролон EL35-42 2000*1200*10; поролон EL35-42 2000*1200*30; кожзам на поролоні м.тіснення чорна ш 1,4; флізілін 120 чорний шщ 1,6</t>
  </si>
  <si>
    <t>Скло дверей праве 21083</t>
  </si>
  <si>
    <t>Скло загартоване бронза з шовкографією 1420*705*5 праве; Скло загартоване бронза з шовкографією 1420*705*5 ліве; Скло загартоване бронза з шовкографією 1460*705*5 праве; Скло загартоване бронза з шовкографією 1460*705*5 ліве; Скло загартоване бронза з шовкографією 1420*1160*5 ліве; Скло загартоване бронза з шовкографією 1460*1160*5 праве; Скло загартоване бронза з шовкографією 635*295**505*322,37*5 ліве; Скло загартоване бронза з шовкографією 640*295*515*320,39*5 праве; Скло загартоване бронза з шовкографією 1345*400*5 праве; Скло загартоване бронза з шовкографією 1345*400*5 ліве; Скло загартоване бронза з шовкографією 1385*400*5 ліве; Скло загартоване бронза з шовкографією 1385*400*5 праве; Скло загартоване бронза з шовкографією 1570*1755*1130*1689,83*5 ліве; Скло загартоване бронза з шовкографією 545*395*375*430,03*5 ліве; Скло загартоване бронза з шовкографією 545*395*375*430,03*5 праве; Скло загартоване бронза з шовкографією 835*1755*1880,33*5 ліве; Скло загартоване бронза з шовкографією 835*1755*1880,33*5 праве; Скло загартоване бронза з шовкографією 910*690*395*690*490*5 праве; Скло загартоване бронза з шовкографією 895*700*375*710*480 ліве; Скло вітрове МАЗ 203/206; Скло заднє МАЗ 203/206(2300*780); Скло вітрове ЛАЗ-183; Скло дверей МАЗ 203 1480*512*5 бронза; Скло дверей МАЗ 203 1220*885*5 бронза; Скло дверей МАЗ 203 1220*500*5 бронза; Скло дверей МАЗ 203 1220*622*5 бронза; Автоскло гартоване розсувне водія 1370*1330 5мм. прозоре, шовк; Автоскло гартоване тролейбус МАЗ 203 розсувне праве салону 1300*1220 бронза, 5мм.; Автоскло гартоване тролейбус МАЗ 203 розсувне ліве салону 1300*1220 бронза, 5мм.; Автоскло гартоване тролейбус МАЗ 203 розсувне ліве салону 1830*1220 бронза, 5мм.; Автоскло гартоване тролейбус МАЗ 203 розсувне праве салону 1830*1220 бронза, 5мм.</t>
  </si>
  <si>
    <t>Слюдопласт вологостійкий;  стрічка ізоляційна пвх;  стрічка смоляна; стрічка кіперна;  стрічка скляна</t>
  </si>
  <si>
    <t>Статус договору</t>
  </si>
  <si>
    <t>Стенди пожежні зі щитом закритого типу (без комплектації); Стенди пожежні зі щитом  відкритого типу стаціонарні (без комплектації); Вогнегасник порошковий зі шлангою ВП-5; Вогнегасник порошковий ВП-2; Вогнегасник вуглекислотний з розтрубом ВВК-3.5; Лопата пожежна штикова; Сокира пожежна з діелектричною ручкою; Лом пожежний із загибом; Багор пожежний</t>
  </si>
  <si>
    <t>Сума договору</t>
  </si>
  <si>
    <t>Супорта гальмівні передні; Подушка КПП ліва VW; Піввісь привода КПП VW; Ступиці передні у сбірі Пежо; Ричаги передні лівий/правий Пежо; Корзина зчеплення VW; циліндр зчеплення головний VW; диск зчеплення VW</t>
  </si>
  <si>
    <t xml:space="preserve">Сінтофлекс 51 0,25 мм
; Сінтофлекс 51 0,17 мм
; Склоплівкослюдопласт ГИП-ЛСП-Пл (в) 0,43 мм; Затверджувач Діетилентриамін DETA; Трубка ТЛВ тип 132 2,0 мм
; Трубка ТЛВ тип 132 6,0 мм
; Стрижень текстолітовий круглий 20,0 мм
; Стрижень текстолітовий круглий 40,0 мм
; Стрижень текстолітовий круглий 50,0 мм
; Стрижень текстолітовий круглий 60,0 мм
; Пруток поліамідний 20х1000 мм
; Пруток поліамідний 40х1000 мм
; Пруток поліамідний 50х1000 мм
; Пруток поліамідний 60х1000 мм
; Пруток поліамідний 70х1000 мм
; Стрічка термостійка кабельна ЛОКТ-840  0,2х1000мм
; Стрічка кіперна 20,0 мм
; Стрічка скляна ЛЭСБ 0,1х25 мм
; Стрічка скляна ЛЭСБ 0,1х20 мм
; Шнур скляний 2,0 мм
; Стрічка ізоляційна ПВХ
; Трубка ТЛВ тип 132 4,0 мм
</t>
  </si>
  <si>
    <t>ТГ-З-2024-53</t>
  </si>
  <si>
    <t>ТЕПЛОВ РУСЛАН ГЕННАДІЙОВИЧ</t>
  </si>
  <si>
    <t>ТЕРНОВСЬКИЙ МИХАЙЛО МИХАЙЛОВИЧ</t>
  </si>
  <si>
    <t>ТОВ "Алюмшій Україна"</t>
  </si>
  <si>
    <t>ТОВ "Алюміній-Україна"</t>
  </si>
  <si>
    <t>ТОВ "ВАЛТЕКС"</t>
  </si>
  <si>
    <t>ТОВ "ЕЛЕКТРО ПОСТАВКА КОМПЛЕКС"</t>
  </si>
  <si>
    <t>ТОВ "Завод модульних споруд Дніпро"</t>
  </si>
  <si>
    <t>ТОВ "МПКА-УКРАЇНА"</t>
  </si>
  <si>
    <t>ТОВ "Миколаївський обласний центр профілактичних оглядів"</t>
  </si>
  <si>
    <t>ТОВ "Регіонмаркет"</t>
  </si>
  <si>
    <t>ТОВ "ТД ТЕРМОФІТ"</t>
  </si>
  <si>
    <t>ТОВ "ТК "ТЕХНОКОМПЛЕКТ"</t>
  </si>
  <si>
    <t>ТОВ «ЕКВІВЕС»</t>
  </si>
  <si>
    <t>ТОВ «КС ПРОФІТ»</t>
  </si>
  <si>
    <t>ТОВ АЛЮР</t>
  </si>
  <si>
    <t>ТОВ ГУДВІЛ</t>
  </si>
  <si>
    <t>ТОВ ДЖЕМІКЛ</t>
  </si>
  <si>
    <t>ТОВ ЕНЕРГОМЕХАНІКА</t>
  </si>
  <si>
    <t>ТОВ КТС Дніпро</t>
  </si>
  <si>
    <t>ТОВАРИСТВО З ОБМЕЖЕНОЮ ВІДПОВІДАЛЬНІСТЮ "XL-ГРУПП"</t>
  </si>
  <si>
    <t>ТОВАРИСТВО З ОБМЕЖЕНОЮ ВІДПОВІДАЛЬНІСТЮ "ІНСТРУМЕНТ-ТЕХСЕРВІС"</t>
  </si>
  <si>
    <t>ТОВАРИСТВО З ОБМЕЖЕНОЮ ВІДПОВІДАЛЬНІСТЮ "ІСКОБАР"</t>
  </si>
  <si>
    <t>ТОВАРИСТВО З ОБМЕЖЕНОЮ ВІДПОВІДАЛЬНІСТЮ "АВК ЕДИНЕНИЕ"</t>
  </si>
  <si>
    <t>ТОВАРИСТВО З ОБМЕЖЕНОЮ ВІДПОВІДАЛЬНІСТЮ "АВТОАДРЕСА"</t>
  </si>
  <si>
    <t>ТОВАРИСТВО З ОБМЕЖЕНОЮ ВІДПОВІДАЛЬНІСТЮ "АДЕСЕМ"</t>
  </si>
  <si>
    <t>ТОВАРИСТВО З ОБМЕЖЕНОЮ ВІДПОВІДАЛЬНІСТЮ "АКАДЕМІЯ РАДНИК"</t>
  </si>
  <si>
    <t>ТОВАРИСТВО З ОБМЕЖЕНОЮ ВІДПОВІДАЛЬНІСТЮ "АЛЮМЕТ+"</t>
  </si>
  <si>
    <t>ТОВАРИСТВО З ОБМЕЖЕНОЮ ВІДПОВІДАЛЬНІСТЮ "АРТЛАЙН ІНТЕГРАЦІЯ"</t>
  </si>
  <si>
    <t>ТОВАРИСТВО З ОБМЕЖЕНОЮ ВІДПОВІДАЛЬНІСТЮ "БАУФЕСТ"</t>
  </si>
  <si>
    <t>ТОВАРИСТВО З ОБМЕЖЕНОЮ ВІДПОВІДАЛЬНІСТЮ "БУДІВЕЛЬНА КОМПАНІЯ "УКРРЕМБУД"</t>
  </si>
  <si>
    <t>ТОВАРИСТВО З ОБМЕЖЕНОЮ ВІДПОВІДАЛЬНІСТЮ "БУДМАШ-ТМ"</t>
  </si>
  <si>
    <t>ТОВАРИСТВО З ОБМЕЖЕНОЮ ВІДПОВІДАЛЬНІСТЮ "ВИРОБНИЧЕ ОБ'ЄДНАННЯ "СТЕКС"</t>
  </si>
  <si>
    <t>ТОВАРИСТВО З ОБМЕЖЕНОЮ ВІДПОВІДАЛЬНІСТЮ "ВОРК УКРАЇНА"</t>
  </si>
  <si>
    <t>ТОВАРИСТВО З ОБМЕЖЕНОЮ ВІДПОВІДАЛЬНІСТЮ "ГУДВІЛ"</t>
  </si>
  <si>
    <t>ТОВАРИСТВО З ОБМЕЖЕНОЮ ВІДПОВІДАЛЬНІСТЮ "ДАНАЯ ХОЛДИНГ"</t>
  </si>
  <si>
    <t>ТОВАРИСТВО З ОБМЕЖЕНОЮ ВІДПОВІДАЛЬНІСТЮ "ДАС-ІНСТРУМЕНТ"</t>
  </si>
  <si>
    <t>ТОВАРИСТВО З ОБМЕЖЕНОЮ ВІДПОВІДАЛЬНІСТЮ "ДАТАСТРІМ"</t>
  </si>
  <si>
    <t>ТОВАРИСТВО З ОБМЕЖЕНОЮ ВІДПОВІДАЛЬНІСТЮ "ДЖЕМІКЛ"</t>
  </si>
  <si>
    <t>ТОВАРИСТВО З ОБМЕЖЕНОЮ ВІДПОВІДАЛЬНІСТЮ "ЕЛКОМ УКРАЇНА СЕРВІС"</t>
  </si>
  <si>
    <t>ТОВАРИСТВО З ОБМЕЖЕНОЮ ВІДПОВІДАЛЬНІСТЮ "ЕЛСІЕЛ-ТРАНС"</t>
  </si>
  <si>
    <t>ТОВАРИСТВО З ОБМЕЖЕНОЮ ВІДПОВІДАЛЬНІСТЮ "ЕНЕРГОМЕРЕЖА"</t>
  </si>
  <si>
    <t>ТОВАРИСТВО З ОБМЕЖЕНОЮ ВІДПОВІДАЛЬНІСТЮ "ЕПІЦЕНТР К"</t>
  </si>
  <si>
    <t>ТОВАРИСТВО З ОБМЕЖЕНОЮ ВІДПОВІДАЛЬНІСТЮ "КЕЛВАР КОЛОР"</t>
  </si>
  <si>
    <t>ТОВАРИСТВО З ОБМЕЖЕНОЮ ВІДПОВІДАЛЬНІСТЮ "КРІОГЕН-СЕРВІС"</t>
  </si>
  <si>
    <t>ТОВАРИСТВО З ОБМЕЖЕНОЮ ВІДПОВІДАЛЬНІСТЮ "КРАЯНИ"</t>
  </si>
  <si>
    <t>ТОВАРИСТВО З ОБМЕЖЕНОЮ ВІДПОВІДАЛЬНІСТЮ "КС ПРОФІТ"</t>
  </si>
  <si>
    <t>ТОВАРИСТВО З ОБМЕЖЕНОЮ ВІДПОВІДАЛЬНІСТЮ "ЛАЙТ-СЕРВІС"</t>
  </si>
  <si>
    <t>ТОВАРИСТВО З ОБМЕЖЕНОЮ ВІДПОВІДАЛЬНІСТЮ "ЛАЙФСЕЛЛ"</t>
  </si>
  <si>
    <t>ТОВАРИСТВО З ОБМЕЖЕНОЮ ВІДПОВІДАЛЬНІСТЮ "МІЖГАЛУЗЕВИЙ ЦЕНТР ОХОРОНИ ПРАЦІ"</t>
  </si>
  <si>
    <t>ТОВАРИСТВО З ОБМЕЖЕНОЮ ВІДПОВІДАЛЬНІСТЮ "МИКОЛАЇВ ТЕХЕКСПЕРТ"</t>
  </si>
  <si>
    <t>ТОВАРИСТВО З ОБМЕЖЕНОЮ ВІДПОВІДАЛЬНІСТЮ "МИКОЛАЇВСЬКИЙ ОБЛАСНИЙ ЦЕНТР ПРОФІЛАКТИЧНИХ ОГЛЯДІВ"</t>
  </si>
  <si>
    <t>ТОВАРИСТВО З ОБМЕЖЕНОЮ ВІДПОВІДАЛЬНІСТЮ "МОНТАЖНО-БУДІВЕЛЬНА КОМПАНІЯ СІНЕРГІЯ"</t>
  </si>
  <si>
    <t>ТОВАРИСТВО З ОБМЕЖЕНОЮ ВІДПОВІДАЛЬНІСТЮ "НІКА ВОСКРЕСІННЯ ГЛАСС"</t>
  </si>
  <si>
    <t>ТОВАРИСТВО З ОБМЕЖЕНОЮ ВІДПОВІДАЛЬНІСТЮ "НИКОЛАЕВЭЛЕКТРО"</t>
  </si>
  <si>
    <t>ТОВАРИСТВО З ОБМЕЖЕНОЮ ВІДПОВІДАЛЬНІСТЮ "ОПТОВА КОМПАНІЯ "ПРОМІНСТРУМЕНТ"</t>
  </si>
  <si>
    <t>ТОВАРИСТВО З ОБМЕЖЕНОЮ ВІДПОВІДАЛЬНІСТЮ "ОРІОН ГЛАСС ПЛЮС"</t>
  </si>
  <si>
    <t>ТОВАРИСТВО З ОБМЕЖЕНОЮ ВІДПОВІДАЛЬНІСТЮ "ОСКАР ГРУП"</t>
  </si>
  <si>
    <t>ТОВАРИСТВО З ОБМЕЖЕНОЮ ВІДПОВІДАЛЬНІСТЮ "ПЕРВОМАЙСЬКИЙ МОЛОЧНОКОНСЕРВНИЙ КОМБІНАТ"</t>
  </si>
  <si>
    <t>ТОВАРИСТВО З ОБМЕЖЕНОЮ ВІДПОВІДАЛЬНІСТЮ "ПНЕВМАТИК ТРЕЙД"</t>
  </si>
  <si>
    <t>ТОВАРИСТВО З ОБМЕЖЕНОЮ ВІДПОВІДАЛЬНІСТЮ "ПОЛІТЕХНОСЕРВІС"</t>
  </si>
  <si>
    <t>ТОВАРИСТВО З ОБМЕЖЕНОЮ ВІДПОВІДАЛЬНІСТЮ "РОБОТА ІНТЕРНЕШНЛ"</t>
  </si>
  <si>
    <t>ТОВАРИСТВО З ОБМЕЖЕНОЮ ВІДПОВІДАЛЬНІСТЮ "САНТАРЕКС"</t>
  </si>
  <si>
    <t>ТОВАРИСТВО З ОБМЕЖЕНОЮ ВІДПОВІДАЛЬНІСТЮ "СИГРЕМС"</t>
  </si>
  <si>
    <t>ТОВАРИСТВО З ОБМЕЖЕНОЮ ВІДПОВІДАЛЬНІСТЮ "СКІФ ІНВЕСТ"</t>
  </si>
  <si>
    <t>ТОВАРИСТВО З ОБМЕЖЕНОЮ ВІДПОВІДАЛЬНІСТЮ "СОЙРІКО"</t>
  </si>
  <si>
    <t>ТОВАРИСТВО З ОБМЕЖЕНОЮ ВІДПОВІДАЛЬНІСТЮ "СОНАР"</t>
  </si>
  <si>
    <t>ТОВАРИСТВО З ОБМЕЖЕНОЮ ВІДПОВІДАЛЬНІСТЮ "СОФТ-ЛЮКС"</t>
  </si>
  <si>
    <t>ТОВАРИСТВО З ОБМЕЖЕНОЮ ВІДПОВІДАЛЬНІСТЮ "СЦРП МИКОЛАЇВ"</t>
  </si>
  <si>
    <t>ТОВАРИСТВО З ОБМЕЖЕНОЮ ВІДПОВІДАЛЬНІСТЮ "ТЕХНОС ПЛЮС"</t>
  </si>
  <si>
    <t>ТОВАРИСТВО З ОБМЕЖЕНОЮ ВІДПОВІДАЛЬНІСТЮ "ТОРГОВА ГРУПА "ПРОМТЕХСЕРВІС"</t>
  </si>
  <si>
    <t>ТОВАРИСТВО З ОБМЕЖЕНОЮ ВІДПОВІДАЛЬНІСТЮ "ТОРГОВИЙ ДІМ "АЛЬФАТЕХ"</t>
  </si>
  <si>
    <t>ТОВАРИСТВО З ОБМЕЖЕНОЮ ВІДПОВІДАЛЬНІСТЮ "ТРАНСГОСП"</t>
  </si>
  <si>
    <t>ТОВАРИСТВО З ОБМЕЖЕНОЮ ВІДПОВІДАЛЬНІСТЮ "УКРАВТОМАТИКА"</t>
  </si>
  <si>
    <t>ТОВАРИСТВО З ОБМЕЖЕНОЮ ВІДПОВІДАЛЬНІСТЮ "ЮГ-СТАНКОСЕРВІС"</t>
  </si>
  <si>
    <t>ТОВАРИСТВО З ОБМЕЖЕНОЮ ВІДПОВІДАЛЬНІСТЮ "ЮГСТАЛЬ"</t>
  </si>
  <si>
    <t>ТОВАРИСТВО З ОБМЕЖЕНОЮ ВІДПОВІДАЛЬНІСТЮ «ЕКСПЕРТУС ТЕК»</t>
  </si>
  <si>
    <t>ТОВАРИСТВО З ОБМЕЖЕНОЮ ВІДПОВІДАЛЬНІСТЮ ІНФОРМАЦІЙНИЙ ЦЕНТР "ОСВІТА - СЕРВІС"</t>
  </si>
  <si>
    <t>ТОВАРИСТВО З ОБМЕЖЕНОЮ ВІДПОВІДАЛЬНІСТЮ МАЛЕ ПІДПРИЄМСТВО "ІНВАР"</t>
  </si>
  <si>
    <t>ТОВАРИСТВО З ОБМЕЖЕНОЮ ВІДПОВІДАЛЬНІСТЮ НАУКОВО-ВИРОБНИЧЕ ПІДПРИЄМСТВО "ТО-НАР"</t>
  </si>
  <si>
    <t>ТОВАРИСТВО З ОБМЕЖЕНОЮ ВІДПОВІДАЛЬНІСТЮ НАУКОВО-ВПРОВАДЖУВАЛЬНА ФІРМА "ГРАНАТО"</t>
  </si>
  <si>
    <t>ТОВАРИСТВО З ОБМЕЖЕНОЮ ВІДПОВІДАЛЬНІСТЮ ТФ "АГОРА"</t>
  </si>
  <si>
    <t>ТОВАРИСТВО З ОБМЕЖЕНОЮ ВІДПОВІДАЛЬНІСТЮ ФІРМА "КРІОГЕНСЕРВІС"</t>
  </si>
  <si>
    <t>ТРАНСПОРТ ВУГІЛЛЯ</t>
  </si>
  <si>
    <t>Технічний нагляд за будівництвом об'єкту: «Поточний ремонт по заміні рейко-шпальної решітки на дільниці по вул. Потьомкінська від вул. 1-а Воєнна до вул. 3-я Слобідська</t>
  </si>
  <si>
    <t>Технічний нагляд за будівництвом об'єкту: «Поточний ремонт по заміні рейко-шпальної решітки на дільниці по вул. Потьомкінська від вул. Садова до вул. 3я Слобідська»</t>
  </si>
  <si>
    <t xml:space="preserve">Технічний нагляд за наданням послуг по об'єкту: «Нове будівництво станції тимчасової стоянки та зарядки міського електротранспорту КП ММР "Миколаївелектротранс" по вул. Айвазовського ріг пр. Корабелів в м. Миколаєві» </t>
  </si>
  <si>
    <t>Технічний нагляд за наданням послуг по об'єкту: «Поточний ремонт   з  благоустрою   трамвайного   полотна та прилеглої до нього території після проведення поточного   ремонту    у двох    напрямках    у м. Миколаїв, вул. Потьомкінська від вул. 3-я Слобідська до вул. 1-а Воєнна»</t>
  </si>
  <si>
    <t>Тип процедури</t>
  </si>
  <si>
    <t>Товариство з обмеженою відповідальністю "АМ МЕТАЛ ГРУП"</t>
  </si>
  <si>
    <t>Товариство з обмеженою відповідальністю "Автосвіт Україна"</t>
  </si>
  <si>
    <t>Товариство з обмеженою відповідальністю "ЮНІФІЛД"</t>
  </si>
  <si>
    <t>Транзистори IGBT Semikron-SKM800GA176D; Транзистори IGBT Semikron- SKM100GB12T4; Драйвер IGBT Semikron- SKHI 22AH4R; Конденсатор HJ680uF400V; Конденсатор В43504А9477М</t>
  </si>
  <si>
    <t>Транзисторна 3-х фазна  збірка CRV364M4K; драйвер IR2132; Оптопара з операційним підсилювачем НР7800</t>
  </si>
  <si>
    <t>Трансформатор  ТМГ-400/ 6 Y1 6/0,4 D/Yn-11</t>
  </si>
  <si>
    <t>Труба профільна ст.3пс 80*80*3 L-6м; Труба профільна ст.3пс 40*40*3 L-6м; Кутик г/к ст.3пс 63*63*5 L-6м; Круг г/к ст.3 ф24мм; Арматура А500С ф20мм; Шестигранник сталевий №36мм ст.45; Лист сталевий г/к Ст.235/275JR 20*1500*1000; Смуга сталева ст.235 JR 5*80мм; Лист г/к ст.3пс 3*1250*2500</t>
  </si>
  <si>
    <t>УКРСПЕЦЗБУТ ЛТД</t>
  </si>
  <si>
    <t>УПРАВЛІННЯ ПОЛІЦІЇ ОХОРОНИ В МИКОЛАЇВСЬКІЙ ОБЛАСТІ</t>
  </si>
  <si>
    <t>Узагальнена назва закупівлі</t>
  </si>
  <si>
    <t>ФЕДОТОВА ІРИНА МИКОЛАЇВНА</t>
  </si>
  <si>
    <t>ФОП "Стецюк Г.В"</t>
  </si>
  <si>
    <t>ФОП Єгорова С.М.</t>
  </si>
  <si>
    <t xml:space="preserve">ФОП Єнтін Олег Якович </t>
  </si>
  <si>
    <t>ФОП Антоненко Оксана Петрівна</t>
  </si>
  <si>
    <t>ФОП Бабаєв Михайло Надирович</t>
  </si>
  <si>
    <t>ФОП ВАСИЛИНЮК ОЛЕНА АНДРІЇВНА</t>
  </si>
  <si>
    <t>ФОП Даценко Христина Сергіївна</t>
  </si>
  <si>
    <t>ФОП Дмитренко І.А.</t>
  </si>
  <si>
    <t>ФОП Зейкан Г.Г.</t>
  </si>
  <si>
    <t>ФОП Кочарян Г.В.</t>
  </si>
  <si>
    <t>ФОП Теплов Руслан Геннадійович</t>
  </si>
  <si>
    <t>ФОП Тодосійчук В.Ю.</t>
  </si>
  <si>
    <t>ФОП Щуренко Олександр Миколайович</t>
  </si>
  <si>
    <t>ФОП Яповський В.І</t>
  </si>
  <si>
    <t>Фарба алкідна автомобільна «CS System Alkyd 300» 202 Сніжно-біла 0,8 л.; Фарба алкідна автомобільна Синій глянець RAL 5015 «CS System Alkyd 300» 0,8 л.; Фарба алкідна автомобільна Золотиста (жовта) 1035 «CS System Alkyd 300» 0,8 л.; Фарба алкідна автомобільна Світло-сіра 671 «CS System Alkyd 300» 0,8 л.; Фарба алкідна автомобільна Чорна 601 «CS System Alkyd 300» 0,8 л.; Фарба автомобільна для дисків Срібляста 9006 «CS System Alkyd 300» 0,5 л.; Фарба алкідна автомобільна Червона 120 «CS System Alkyd 300» 0,8 л.; Ґрунтовка автомобільний «CS System АС-992» 1,1 кг</t>
  </si>
  <si>
    <t>Фоп Колокот Р.Г.</t>
  </si>
  <si>
    <t>Фізична особа — підприємець Боду Даніель Жакович</t>
  </si>
  <si>
    <t>ЦВ/343/25-в</t>
  </si>
  <si>
    <t>ЦВ/343/25-к</t>
  </si>
  <si>
    <t>ЦИПЛЯКОВА АЛЬОНА МИКОЛАЇВНА</t>
  </si>
  <si>
    <t>ЧОРНА ОЛЕНА ВОЛОДИМИРІВНА</t>
  </si>
  <si>
    <t>Шафа металева для одягу однорівнева з перегородкою і з додатковою нижньою поличкою ШОМ-П 1/40 (кількість секцій-10); Шафа металева для одягу однорівнева з перегородкою і з додатковою нижньою поличкою ШОМ-П 1/40 (кількість секцій-9); Шафа металева для одягу однорівнева з перегородкою і з додатковою нижньою поличкою ШОМ-П 1/40 (кількість секцій-8); Шафа металева для одягу однорівнева з перегородкою і з додатковою нижньою поличкою ШОМ-П 1/40 (кількість секцій-7); Шафа металева для одягу однорівнева з перегородкою і з додатковою нижньою поличкою ШОМ-П 1/40 (кількість секцій-6); Шафа металева для одягу однорівнева з перегородкою і з додатковою нижньою поличкою ШОМ-П 1/40 (кількість секцій-5); Шафа металева для одягу однорівнева з перегородкою і з додатковою нижньою поличкою ШОМ-П 1/40 (кількість секцій-4); Шафа металева для одягу однорівнева з перегородкою і з додатковою нижньою поличкою ШОМ-П 1/40 (кількість секцій-3)</t>
  </si>
  <si>
    <t>Швидкозшивач, папка швидкозшивач, папка зі швидкозшивачем, реєстратор, папка на зав’язках</t>
  </si>
  <si>
    <t>Шини 225/75 R16 10PR зима; Шини 225/75 R16 С всесезон; Шини 205/70 R15 зима; Шини 235/45 R18 зима; Шини 265/70 R16 літо; Шини 195/65 R15 зима; Шини 440/80 R28 (16.9 R28); Шини 215/60 R16 зима</t>
  </si>
  <si>
    <t>Шини 275/70 R22.5; Шини 11R22.5; Шини 12.00 R20; Шини 8.25 R20; Шини 16.5/70 R18; Шини 205/65 R15; Шини 215/65 R17; Шини 235/40ZR19; Шини 195/65 R15; Шини 215/50 R17 (зима); Шини 195/65 R15</t>
  </si>
  <si>
    <t>Шпаклівка CS System “UNI”, бежева (1,8кг.); Шпаклівка CS System “GLASS”, зелена (1,8кг.); Шпаклівка для пластику Body F222 Bumpersoft 1 кг</t>
  </si>
  <si>
    <t>Щити пожежні закритого типу</t>
  </si>
  <si>
    <t>Ю 24-01-19</t>
  </si>
  <si>
    <t>ЮВЕНТА-К ПЛЮС</t>
  </si>
  <si>
    <t>ЮРКЕВИЧ ЛЮДМИЛА ГРИГОРІВНА</t>
  </si>
  <si>
    <t>ЯКОВЛЄВА ЛАРИСА ВАСИЛІВНА</t>
  </si>
  <si>
    <t>ЯНИК ТЕТЯНА МИКОЛАЇВНА</t>
  </si>
  <si>
    <t>ЯЦИК ІГОР ВОЛОДИМИРОВИЧ</t>
  </si>
  <si>
    <t>Якщо ви маєте пропозицію чи побажання щодо покращення цього звіту, напишіть нам, будь ласка:</t>
  </si>
  <si>
    <t>активний</t>
  </si>
  <si>
    <t>анерні сітки з друком та люверсами по периметру, наліпки</t>
  </si>
  <si>
    <t xml:space="preserve">батарейки </t>
  </si>
  <si>
    <t>бездротові маршрутизатори D921-E 4G</t>
  </si>
  <si>
    <t>виготовлення  проектно-кошторисної документації по об’єкту: «Нове будівництво тролейбусної лінії по просп. Богоявленському від вул. Авангардної до зупинки «вул. Старофортечна» у м. Миколаєві» та виконання функції замовника експертизи робочого проекту</t>
  </si>
  <si>
    <t>виготовлення проектно-кошторисної документації по об'єкту: "Благоустрій трамвайного полотна та прилеглої до нього території після проведення поточного ремонту у двох напрямках за адресою: м. Миколаїв, вул. Потьомкінська від вул. 3-й Слобідська до вул. 1-а Воєнна" та виконання функції замовника експертизи робочого проекту</t>
  </si>
  <si>
    <t>виготовлення проектно-кошторисної документації: Робочий проект:
«Система блискавкозахисту будівель Трамвайного депо КП ММР
«МИКОЛАЇВЕЛЕКТРОТРАНС», за адресою: м. Миколаїв, вул. Андреєва-Палагнюка, 17, а саме:
Літера «1Р-1» Будівля автогосподарства, Літера «1Ф-1» Склад, Літера «1Ц-1»
Трансформаторна підстанція, Літера «А-1» Прохідна», Літера «В-2» Адміністративна будівля
ПНЕТ, Літера «Г-1-2» Цех ВРМ, Літера «Д-1-2» Цех ДЕПО, Літера «И-2» Їдальня-склад,
Літера «К-2» Центральний склад з гаражними боксами, Літера «М-1» Будівля служби колії з
побутовими приміщеннями, Літера «П-1» Майстерня ОГМ, Літера «1Д» Склад для газових
балонів»</t>
  </si>
  <si>
    <t>виготовлення проектно-кошторисної документації: Робочий проект: «Система пожежної сигналізації, система оповіщення про пожежу і покажчиків напрямку евакуювання будівель Трамвайного депо КП ММР «МИКОЛАЇВЕЛЕКТРОТРАНС», за адресою:
м. Миколаїв, вул. Андреєва-Палагнюка,17, а саме: Літера «1Р-1» Будівля автогосподарства,
Літера «1Ф-1» Склад, Літера «1Ц-1» Трансформаторна підстанція, Літера «А-1» Прохідна»,
Літера «В-2» Адміністративна будівля ПНЕТ, Літера «Г-1-2» Цех ВРМ, Літера «Д-1-2» Цех
ДЕПО, Літера «И-2» Їдальня-склад, Літера «К-2» Центральний склад з гаражними боксами,
Літера «М-1» Будівля служби колії з побутовими приміщеннями, Літера «П-1» Майстерня
ОГМ, Літера «1Д» Склад для газових балонів »</t>
  </si>
  <si>
    <t>виготовлення шестерні, бронзового вінця, валу</t>
  </si>
  <si>
    <t>виконання Робіт: Робочий проект: «Система блискавкозахисту будівель диспетчерської, прохідної, будівлі допоміжних приміщень та будівлі головного корпусу КП ММР «МИКОЛАЇВЕЛЕКТРОТРАНС» за адресою: вул. Будівельників, 1, м. Миколаїв, Миколаївська область»</t>
  </si>
  <si>
    <t>виконання робіт з виготовлення  проектно-кошторисної документації  по об’єкту: «Нове будівництво станції тимчасової стоянки та зарядки міського електротранспорту КП ММР "Миколаївелектротранс" по вул. Айвазовського ріг пр. Корабелів в м. Миколаєві» та виконання функції замовника експертизи робочого проекту</t>
  </si>
  <si>
    <t>виконання робіт з виготовлення  проектно-кошторисної документації по об’єкту: «Зовнішні мережі водопостачання і водовідведення станції тимчасової стоянки та зарядки міського електротранспорту КП  ММР «Миколаївелектротранс» по вул. Айвазовського ріг просп. Корабелів в м. Миколаєві» та виконання функції замовника експертизи(експертної оцінки) робочого проекту</t>
  </si>
  <si>
    <t>виконання робіт: робочий проект "Монтаж системи автоматичної пожежної сигналізації та системи керування евакуюванням (оповіщення про пожежу і показчиків напрямку евакуювання) будівель диспетчерської, прохідної, будівлі допоміжних приміщень та будівлі головного корпусу КП ММР "Миколаївелектротранс". Коригування." за адресою: вул. Будівельників, 1, м. Миколаїв, Миколаївська область</t>
  </si>
  <si>
    <t>виконання робіт: робочий проект з вогнезахисного обробляння дерев'яних конструкцій даху будівель трамвайного депо КП ММР "Миколаївелектротранс" за адресою: м. Миколаїв, вул. Андреєва-Палагнюка, 17, а саме: Літера "В-2" Адміністративна будівля ПНЕТ, Літера "1Р-1" Будівля автогосподарства, Літера "Д-1-2" Цех ДЕПО, Літера "Г-1-2" Цех ВРМ</t>
  </si>
  <si>
    <t>виконання робіт: робочий проект з вогнесазихисного обробляння дерев'яних елементів горищних покриттів складу металу та несучих металевих конструкцій будівлі головного корпусу КП ММР "Миколаївелектротранс" за адресою: вул. Будівельників, 1, м. Миколаїв, Миколаївська область</t>
  </si>
  <si>
    <t>вимірювання з визначення метрологічних характеристик з наданням сертифіката про перевіряння метрологічних характеристик амперметрів, вольтметрів, ватметрів постійного та змінного струму та самописних однограничних</t>
  </si>
  <si>
    <t>вимірювання з визначення метрологічних характеристик з наданням сертифіката про перевіряння метрологічних характеристик лінійок вимірювальних, метрів брускових та складних (за одну шкалу усіх типів)</t>
  </si>
  <si>
    <t>вимірювання з визначення метрологічних характеристик з наданням серттфіката про перевіряння метрологічних характеристик секундомерів-таймерів</t>
  </si>
  <si>
    <t>герметик 600 мл</t>
  </si>
  <si>
    <t>державний технічний контроль об’єктів міського електротранспорту, що знаходиться на балансі Замовника</t>
  </si>
  <si>
    <t>дзеркала заднього виду (євро) КАМАЗ, СМАЗ (з підігрівом)</t>
  </si>
  <si>
    <t>доступ до порталу Радник у сфері публічних закупівель</t>
  </si>
  <si>
    <t>дриль ударний, кутова шліфмашина</t>
  </si>
  <si>
    <t>діагностування та ремонт субблоків: Р-32, Р-26, КС 31.51</t>
  </si>
  <si>
    <t>електрична енергія</t>
  </si>
  <si>
    <t xml:space="preserve">електрична енергія </t>
  </si>
  <si>
    <t>журнали щозмінного перед рейсового та після рейсового медичного огляду водії</t>
  </si>
  <si>
    <t>закритий</t>
  </si>
  <si>
    <t>залікова книжка</t>
  </si>
  <si>
    <t xml:space="preserve">зарядний пристрій (інвертор) </t>
  </si>
  <si>
    <t>захоплювач для рейок кліщовий</t>
  </si>
  <si>
    <t>здійснення авторського нагляду по об’єкту: «Нове будівництво станції тимчасової стоянки та зарядки міського електротранспорту КП ММР "Миколаївелектротранс" по вул. Айвазовського ріг пр. Корабелів в м. Миколаєві»</t>
  </si>
  <si>
    <t>квитково-облікові листи, контрольні довідки про прийом грошей, відомості обліку, накладні, контрольні листи роботи контролерів, картки обліку, звіти, посвідчення, відомості виконання, табелі робочого часу, подорожні листи, авансові звіти, прибуткові касові ордери, видаткові касові ордери, інвентиразійні описи</t>
  </si>
  <si>
    <t>книги обліку, книжки водія</t>
  </si>
  <si>
    <t>консервант деревини Вогнебіозаист концентрат 1:5, 5л.</t>
  </si>
  <si>
    <t>коректор, скріпки, біндер, ніж канцелярський, леза для канцелярських ножів ,фарба штемпельна, маркери, степлер, гумка, олівці, стрижні,лоток, фотопапір, точилка, ручки, стрічка клейка, грифелі,стрічка фарбуюча, стрічка корегуюча</t>
  </si>
  <si>
    <t>коригування проектно-кошторисної документації на стадії «Робочий проект» на об’єкті: "Нове будівництво мереж електропостачання земельної ділянки за адресою: м. Миколаїв, вул. Айвазовського ріг пр. Корабелів. (Коригування)</t>
  </si>
  <si>
    <t>лопати пожежні, сокири пожежні, багри пожежні, ломи пожежні; вогнегасники порошкові</t>
  </si>
  <si>
    <t>лічильник монет Cassida Coinmax</t>
  </si>
  <si>
    <t>мегаомметр ЕС 0202/2Г</t>
  </si>
  <si>
    <t>металопластикові вікна у зборі</t>
  </si>
  <si>
    <t>молоко незбиране згущене с цукром</t>
  </si>
  <si>
    <t>надання послуг по об’єкту: Комплексні інженерно-геодезичні вишукування забудованої території по об'єкту: "Прокладання кабелю заживлення до контактної мережі від ТП-2 до проспекту Богоявленського" у м.Миколаєві</t>
  </si>
  <si>
    <t>освітні послуги з навчання</t>
  </si>
  <si>
    <t>перевіряння проекту ТУ У 29.1-03328468-001:2024, внесення ТУ до Головного фонду ТУ та Бази даних "Технічні умови України"</t>
  </si>
  <si>
    <t>повірка вимірювальної техніки</t>
  </si>
  <si>
    <t>повірка термометрів скляних</t>
  </si>
  <si>
    <t>послуга з друку наклейок на трамвай "Символіка міста Миколаєва"</t>
  </si>
  <si>
    <t>послуги виготовлення кватирок із алюмінієвого профілю з ущільнювачем, фурнітурою та монтуванням скла</t>
  </si>
  <si>
    <t>послуги з відстеження пасажиропотоку</t>
  </si>
  <si>
    <t>послуги з доступу до глобальної помп'ютерної мережі Internet та надання послуг перегляду телеканалів у цифровій якості, в основу якого покладене використання обладнання та компьютерної мережі Оператора</t>
  </si>
  <si>
    <t>послуги з надання доступу в режимі оналайн до електронних баз наукової та науково-технічної інформації інформаційного ресурсу Експертус Кадри за рівнем VIP</t>
  </si>
  <si>
    <t>послуги з обов'язкового страхування цивільно-правової відповідальності власників наземних транспортних засобів</t>
  </si>
  <si>
    <t>послуги з питань автоматизованого визначення вартості
будівельних робіт при застосуванні ПК АВК-5 "Автоматизований випуск на ПЕОМ кошторисно-ресурсної документації" на
основних та додаткових робочих місцях (для 2 робочих місць)</t>
  </si>
  <si>
    <t>послуги з поточного ремонту асфальтобетонного покриття вздовж трамвайної колії та прилеглої території струменевим методом по вул. Нікольська від вул. Потьомкінська до вул. Спортивна у м. Миколаєві</t>
  </si>
  <si>
    <t>послуги з поточного ремонту з облаштування швів примикання між рейками та плиткою ФЕМ асфальтобетоном в обидва напрямки по вул. Потьомкінська від вул. Декабристів до вул. Лягіна та від вул. М. Морська до вул. Громадянська в м. Мколаєві</t>
  </si>
  <si>
    <t>послуги з ремонту дрилі Bosch Professional GBM 50-2</t>
  </si>
  <si>
    <t>послуги з розмитнення</t>
  </si>
  <si>
    <t>послуги з розподілу електричної енергії</t>
  </si>
  <si>
    <t>послуги з технічного обстеження будівель літ. Ж-1, Ж-2, Е, Д тролейбусного ДЕПО № 3 КП ММР "Миколаївелектротранс"</t>
  </si>
  <si>
    <t>послуги з управління побутовими відходами</t>
  </si>
  <si>
    <t>послуги з управління побутовими відходами; послуги з управління побутовими відходами; послуги з управління побутовими відходами</t>
  </si>
  <si>
    <t>послуги з централізованого водовідведення</t>
  </si>
  <si>
    <t>послуги зі встановлення скла на тролейбус Дніпро Т203</t>
  </si>
  <si>
    <t>послуги зі супроводу проходження експертизи робочого проекту з вогнезахисного обробляння дерев'яних елементів перекриття складу металу, дерев'яних елементів горищних поериттів складу металу та несучих металевих конструкцій будівлі головного корпусу КП ММР "Миколаївелектротранс" за адресою: вул. Будівельників, 1, м. Миколаїв</t>
  </si>
  <si>
    <t>послуги зі супроводу проходження експертизи робочого проекту з вогнезахисного обробляння дерев'яних конструкцій даху будівель Трамвайного депо КП ММР "Миколаївелектротранс" за адресою: вул. Андреєва-Палагнюка, 17, а саме: Літера "В-2" Адміністративна будівля ПНЕТ, Літера "1Р-1" Будівля автогосподарства, Літера "Д-1-2" Цех ДЕПО, Літера "Г-1-2" Цех ВРМ</t>
  </si>
  <si>
    <t>послуги онлайн-сервісу програмного забезпечення "Система електронногог документообігу АСКОД"</t>
  </si>
  <si>
    <t>послуги сервісного обслуговування РРО</t>
  </si>
  <si>
    <t>послуги із забезпечення перетікань реактивної електричної енергії</t>
  </si>
  <si>
    <t>посоуги з технічного огляду балонів</t>
  </si>
  <si>
    <t>поточний   ремонт  з  благоустрою   трамвайного   полотна та прилеглої до нього території після проведення поточного ремонту    у двох    напрямках у м. Миколаїв, вул. Потьомкінська від вул. 3-я Слобідська до вул. 1-а Воєнна</t>
  </si>
  <si>
    <t>поточний ремонт асфальтобетонного покриття вздовж трамвайної колії та прилеглої території по вул. Потьомкінська від вул. Декабристів до вул. Пушкінська у м. Миколаєві</t>
  </si>
  <si>
    <t>поточний ремонт з облаштування швів примикання між рейками та брукуванням струменевим методом в обидва напрямки по вул. 1 Воєнна перехрестя з вул. Столярна та вул. Колодязна в м. Миколаєві</t>
  </si>
  <si>
    <t>поточний ремонт з облаштування швів примикання між рейками та плиткою ФЕМ струменевим методом в обидва напрямки по вул. Потьомкінська від вул. Мала Морська до вул. Лягіна у м. Миколаєві</t>
  </si>
  <si>
    <t>поточний ремонт з облаштування швів примикання між рейками та плиткою ФЕМ струменевим методом в обидва напрямки по вул. Потьомкінська від вул. Садова до вул. Громадянська у м. Миколаєві</t>
  </si>
  <si>
    <t>проведення лаболаторних досліджень (випробувань) води питної</t>
  </si>
  <si>
    <t>проектно-вишукувальні  послуги з розроблення проекту землеустрою щодо відведення земельної ділянки з метою передачі в постійне користування, з цільовим призначенням згідно з класифікатором видів цільового призначення земельних ділянок: 12.07 – для розміщення та експлуатації будівель і споруд міського електротранспорту по вул. Айвазовського ріг пр. Корабелів в Корабельному районі  м. Миколаєва</t>
  </si>
  <si>
    <t>профіль алюмінієвий  ПАС-1105 АД-31 6000 мм БП</t>
  </si>
  <si>
    <t xml:space="preserve">пісок щільний природний (віяний) </t>
  </si>
  <si>
    <t>рефлектометр високовольтний осцилографічний ІСКРА-4</t>
  </si>
  <si>
    <t>розробка проектно-кошторисної документації на стадії "Робочий проект" на об'єкті: "Нове будівництво мереж електропостачання замельної ділянки за адресою: м. Миколаїв, вул. Айвазовського ріг пр. Корабелів"</t>
  </si>
  <si>
    <t>розробка проектно-кошторисної документації на стадії "Робочий проект" на об'єкті: "Нове будівництво мереж електропостачання колонок для зарядки тролейбусів за адресою: м. Миколаїв, вул. Айвазовського ріг пр. Корабелів"</t>
  </si>
  <si>
    <t>розчинники</t>
  </si>
  <si>
    <t>рукава для газового зварювання та різання металу</t>
  </si>
  <si>
    <t>стрічка малярна</t>
  </si>
  <si>
    <t>супровід проходження експертизи робочого проекту "Система близкавкозахисту будівель Трамвайного депо КП ММР «МИКОЛАЇВЕЛЕКТРОТРАНС», за адресою: м. Миколаїв, вул. Андреєва-Палагнюка,17, а саме: Літера «1Р-1» Будівля автогосподарства, Літера «1Ф-1» Склад, Літера «1Ц-1» Трансформаторна підстанція, Літера «А-1» Прохідна», Літера «В-2» Адміністративна будівля ПНЕТ, Літера «Г-1-2» Цех ВРМ, Літера «Д-1-2» Цех ДЕПО, Літера «И-2» Їдальня-склад, Літера «К-2» Центральний склад з гаражними боксами, Літера «М-1» Будівля служби колії з побутовими приміщеннями, Літера «П-1» Майстерня ОГМ, Літера «1Д» Склад для газових балонів »</t>
  </si>
  <si>
    <t>супровід проходження експертизи робочого проекту "Система пожежної сигналізації, система оповіщення про пожежу і покажчиків напрямку евакуювання будівель Трамвайного депо КП ММР «МИКОЛАЇВЕЛЕКТРОТРАНС», за адресою: м. Миколаїв, вул. Андреєва-Палагнюка,17, а саме: Літера «1Р-1» Будівля автогосподарства, Літера «1Ф-1» Склад, Літера «1Ц-1» Трансформаторна підстанція, Літера «А-1» Прохідна», Літера «В-2» Адміністративна будівля ПНЕТ, Літера «Г-1-2» Цех ВРМ, Літера «Д-1-2» Цех ДЕПО, Літера «И-2» Їдальня-склад, Літера «К-2» Центральний склад з гаражними боксами, Літера «М-1» Будівля служби колії з побутовими приміщеннями, Літера «П-1» Майстерня ОГМ, Літера «1Д» Склад для газових балонів »</t>
  </si>
  <si>
    <t>супровід проходження експертизи робочого проекту: "Монтаж системи автоматичнрї пожежної сигналізації та системи керування евакуюванням (оповіщення про пожежу і показчиків напрямку евакуювання) будівель диспетчерської, прохідної, будівлі допоміжних приміщень та будівлі головного корпусу КП ММР "Миколаївелектротранс". Коригування." за адресою: вул. Будівельників, 1, м. Миколаїв, Миколаїська область</t>
  </si>
  <si>
    <t>телекомунікаційні послуги бізнес-мережі</t>
  </si>
  <si>
    <t>тен 1000W сухий</t>
  </si>
  <si>
    <t>термоментр безконтактний</t>
  </si>
  <si>
    <t>технічне обслуговування кондиціонерів</t>
  </si>
  <si>
    <t>тимчасове приєднання до електричних мереж</t>
  </si>
  <si>
    <t>тумба офісна з шухляой</t>
  </si>
  <si>
    <t>упровід проходження експеризи робочого проекту: "Система блискавкозахисту будівель диспетчерської, прохідної, будівлі допоміжних приміщень та будівлі головного корпусу КП ММР "Миколаївелектротранс" за адресою: вул. Будівельників, 1, м. Миколаїв, Миколаївська область"</t>
  </si>
  <si>
    <t>участь у семінарі Літній курс успішного кадровика</t>
  </si>
  <si>
    <t xml:space="preserve">фари протитуманні, багатофункціональні, основні комплекти </t>
  </si>
  <si>
    <t xml:space="preserve">шафа для документів офісна ; шафа система офіс </t>
  </si>
  <si>
    <t>шкребок металевий; губка поролонова</t>
  </si>
  <si>
    <t>шурупокрут акумуляторний</t>
  </si>
  <si>
    <t>інвертори напруги</t>
  </si>
  <si>
    <t>інформаційно-консультативні послуги з супроводження ПЗ "M.E.Doc"</t>
  </si>
  <si>
    <t>№</t>
  </si>
</sst>
</file>

<file path=xl/styles.xml><?xml version="1.0" encoding="utf-8"?>
<styleSheet xmlns="http://schemas.openxmlformats.org/spreadsheetml/2006/main">
  <numFmts count="2">
    <numFmt numFmtId="165" formatCode="yyyy-mm-dd"/>
    <numFmt numFmtId="166" formatCode="dd.mm.yyyy"/>
  </numFmts>
  <fonts count="4">
    <font>
      <sz val="11"/>
      <color theme="1"/>
      <name val="Calibri"/>
      <family val="2"/>
      <scheme val="minor"/>
    </font>
    <font>
      <sz val="10.0"/>
      <color rgb="00000000"/>
      <name val="Arial"/>
      <family val="2"/>
    </font>
    <font>
      <sz val="10.0"/>
      <color rgb="0000FF"/>
      <name val="Arial"/>
      <family val="2"/>
    </font>
    <font>
      <sz val="10.0"/>
      <color rgb="FFFFFF"/>
      <name val="Arial"/>
      <family val="2"/>
      <b/>
    </font>
  </fonts>
  <fills count="3">
    <fill>
      <patternFill patternType="none"/>
    </fill>
    <fill>
      <patternFill patternType="gray125"/>
    </fill>
    <fill>
      <patternFill patternType="solid">
        <fgColor rgb="008000"/>
      </patternFill>
    </fill>
  </fills>
  <borders count="2">
    <border>
      <left/>
      <right/>
      <top/>
      <bottom/>
      <diagonal/>
    </border>
    <border>
      <left style="medium">
        <color rgb="FFFFFF"/>
      </left>
      <right style="medium">
        <color rgb="FFFFFF"/>
      </right>
      <top style="medium">
        <color rgb="FFFFFF"/>
      </top>
      <bottom style="medium">
        <color rgb="FFFFFF"/>
      </bottom>
      <diagonal/>
    </border>
  </borders>
  <cellStyleXfs count="1">
    <xf numFmtId="0" fontId="0" fillId="0" borderId="0"/>
  </cellStyleXfs>
  <cellXfs count="9">
    <xf numFmtId="0" fontId="0" fillId="0" xfId="0" borderId="0"/>
    <xf numFmtId="0" fontId="1" fillId="0" xfId="0" borderId="0" applyFont="1"/>
    <xf numFmtId="0" fontId="2" fillId="0" xfId="0" borderId="0" applyFont="1"/>
    <xf numFmtId="0" fontId="3" fillId="2" xfId="0" borderId="1" applyFont="1" applyBorder="1" applyFill="1" applyAlignment="1">
      <alignment horizontal="center" wrapText="1"/>
    </xf>
    <xf numFmtId="1" fontId="1" fillId="0" xfId="0" borderId="0" applyFont="1" applyNumberFormat="1"/>
    <xf numFmtId="165" fontId="0" fillId="0" xfId="0" borderId="0" applyNumberFormat="1"/>
    <xf numFmtId="166" fontId="1" fillId="0" xfId="0" borderId="0" applyFont="1" applyNumberFormat="1"/>
    <xf numFmtId="4" fontId="1" fillId="0" xfId="0" borderId="0" applyFont="1" applyNumberFormat="1"/>
  </cellXfs>
  <cellStyles count="1">
    <cellStyle name="Normal" xfId="0" builtinId="0"/>
  </cellStyles>
  <dxfs count="0"/>
  <tableStyles count="0" defaultTableStyle="TableStyleMedium9" defaultPivotStyle="PivotStyleLight16"/>
</styleSheet>
</file>

<file path=xl/_rels/workbook.xml.rels><ns0:Relationships xmlns:ns0="http://schemas.openxmlformats.org/package/2006/relationships">
  <ns0:Relationship Id="rId1" Target="worksheets/sheet1.xml" Type="http://schemas.openxmlformats.org/officeDocument/2006/relationships/worksheet"/>
  <ns0:Relationship Id="rId2" Target="sharedStrings.xml" Type="http://schemas.openxmlformats.org/officeDocument/2006/relationships/sharedStrings"/>
  <ns0:Relationship Id="rId3" Target="styles.xml" Type="http://schemas.openxmlformats.org/officeDocument/2006/relationships/styles"/>
  <ns0:Relationship Id="rId4" Target="theme/theme1.xml" Type="http://schemas.openxmlformats.org/officeDocument/2006/relationships/theme"/>
</ns0: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ns0:Relationships xmlns:ns0="http://schemas.openxmlformats.org/package/2006/relationships">
  <ns0:Relationship Id="rId1" Type="http://schemas.openxmlformats.org/officeDocument/2006/relationships/hyperlink" Target="mailto:report-feedback@zakupivli.pro" TargetMode="External"/>
  <ns0:Relationship Id="rId2" Type="http://schemas.openxmlformats.org/officeDocument/2006/relationships/hyperlink" Target="https://my.zakupivli.pro/remote/dispatcher/state_purchase_view/54931303" TargetMode="External"/>
  <ns0:Relationship Id="rId3" Type="http://schemas.openxmlformats.org/officeDocument/2006/relationships/hyperlink" Target="https://my.zakupivli.pro/remote/dispatcher/state_contracting_view/22153926" TargetMode="External"/>
  <ns0:Relationship Id="rId4" Type="http://schemas.openxmlformats.org/officeDocument/2006/relationships/hyperlink" Target="https://my.zakupivli.pro/remote/dispatcher/state_purchase_view/56326408" TargetMode="External"/>
  <ns0:Relationship Id="rId5" Type="http://schemas.openxmlformats.org/officeDocument/2006/relationships/hyperlink" Target="https://my.zakupivli.pro/remote/dispatcher/state_contracting_view/22763651" TargetMode="External"/>
  <ns0:Relationship Id="rId6" Type="http://schemas.openxmlformats.org/officeDocument/2006/relationships/hyperlink" Target="https://my.zakupivli.pro/remote/dispatcher/state_purchase_view/56141855" TargetMode="External"/>
  <ns0:Relationship Id="rId7" Type="http://schemas.openxmlformats.org/officeDocument/2006/relationships/hyperlink" Target="https://my.zakupivli.pro/remote/dispatcher/state_contracting_view/22679893" TargetMode="External"/>
  <ns0:Relationship Id="rId8" Type="http://schemas.openxmlformats.org/officeDocument/2006/relationships/hyperlink" Target="https://my.zakupivli.pro/remote/dispatcher/state_purchase_view/56281921" TargetMode="External"/>
  <ns0:Relationship Id="rId9" Type="http://schemas.openxmlformats.org/officeDocument/2006/relationships/hyperlink" Target="https://my.zakupivli.pro/remote/dispatcher/state_contracting_view/22742865" TargetMode="External"/>
  <ns0:Relationship Id="rId10" Type="http://schemas.openxmlformats.org/officeDocument/2006/relationships/hyperlink" Target="https://my.zakupivli.pro/remote/dispatcher/state_purchase_view/56327524" TargetMode="External"/>
  <ns0:Relationship Id="rId11" Type="http://schemas.openxmlformats.org/officeDocument/2006/relationships/hyperlink" Target="https://my.zakupivli.pro/remote/dispatcher/state_contracting_view/22764094" TargetMode="External"/>
  <ns0:Relationship Id="rId12" Type="http://schemas.openxmlformats.org/officeDocument/2006/relationships/hyperlink" Target="https://my.zakupivli.pro/remote/dispatcher/state_purchase_view/56215622" TargetMode="External"/>
  <ns0:Relationship Id="rId13" Type="http://schemas.openxmlformats.org/officeDocument/2006/relationships/hyperlink" Target="https://my.zakupivli.pro/remote/dispatcher/state_contracting_view/22714788" TargetMode="External"/>
  <ns0:Relationship Id="rId14" Type="http://schemas.openxmlformats.org/officeDocument/2006/relationships/hyperlink" Target="https://my.zakupivli.pro/remote/dispatcher/state_purchase_view/55973027" TargetMode="External"/>
  <ns0:Relationship Id="rId15" Type="http://schemas.openxmlformats.org/officeDocument/2006/relationships/hyperlink" Target="https://my.zakupivli.pro/remote/dispatcher/state_contracting_view/22603557" TargetMode="External"/>
  <ns0:Relationship Id="rId16" Type="http://schemas.openxmlformats.org/officeDocument/2006/relationships/hyperlink" Target="https://my.zakupivli.pro/remote/dispatcher/state_purchase_view/56183012" TargetMode="External"/>
  <ns0:Relationship Id="rId17" Type="http://schemas.openxmlformats.org/officeDocument/2006/relationships/hyperlink" Target="https://my.zakupivli.pro/remote/dispatcher/state_contracting_view/22699133" TargetMode="External"/>
  <ns0:Relationship Id="rId18" Type="http://schemas.openxmlformats.org/officeDocument/2006/relationships/hyperlink" Target="https://my.zakupivli.pro/remote/dispatcher/state_purchase_view/56182077" TargetMode="External"/>
  <ns0:Relationship Id="rId19" Type="http://schemas.openxmlformats.org/officeDocument/2006/relationships/hyperlink" Target="https://my.zakupivli.pro/remote/dispatcher/state_contracting_view/22698675" TargetMode="External"/>
  <ns0:Relationship Id="rId20" Type="http://schemas.openxmlformats.org/officeDocument/2006/relationships/hyperlink" Target="https://my.zakupivli.pro/remote/dispatcher/state_purchase_view/56283391" TargetMode="External"/>
  <ns0:Relationship Id="rId21" Type="http://schemas.openxmlformats.org/officeDocument/2006/relationships/hyperlink" Target="https://my.zakupivli.pro/remote/dispatcher/state_contracting_view/22743612" TargetMode="External"/>
  <ns0:Relationship Id="rId22" Type="http://schemas.openxmlformats.org/officeDocument/2006/relationships/hyperlink" Target="https://my.zakupivli.pro/remote/dispatcher/state_purchase_view/56181108" TargetMode="External"/>
  <ns0:Relationship Id="rId23" Type="http://schemas.openxmlformats.org/officeDocument/2006/relationships/hyperlink" Target="https://my.zakupivli.pro/remote/dispatcher/state_contracting_view/22698232" TargetMode="External"/>
  <ns0:Relationship Id="rId24" Type="http://schemas.openxmlformats.org/officeDocument/2006/relationships/hyperlink" Target="https://my.zakupivli.pro/remote/dispatcher/state_purchase_view/53844946" TargetMode="External"/>
  <ns0:Relationship Id="rId25" Type="http://schemas.openxmlformats.org/officeDocument/2006/relationships/hyperlink" Target="https://my.zakupivli.pro/remote/dispatcher/state_purchase_lot_view/1415736" TargetMode="External"/>
  <ns0:Relationship Id="rId26" Type="http://schemas.openxmlformats.org/officeDocument/2006/relationships/hyperlink" Target="https://my.zakupivli.pro/remote/dispatcher/state_contracting_view/22029935" TargetMode="External"/>
  <ns0:Relationship Id="rId27" Type="http://schemas.openxmlformats.org/officeDocument/2006/relationships/hyperlink" Target="https://my.zakupivli.pro/remote/dispatcher/state_purchase_view/53149591" TargetMode="External"/>
  <ns0:Relationship Id="rId28" Type="http://schemas.openxmlformats.org/officeDocument/2006/relationships/hyperlink" Target="https://my.zakupivli.pro/remote/dispatcher/state_purchase_lot_view/1382816" TargetMode="External"/>
  <ns0:Relationship Id="rId29" Type="http://schemas.openxmlformats.org/officeDocument/2006/relationships/hyperlink" Target="https://my.zakupivli.pro/remote/dispatcher/state_contracting_view/21483532" TargetMode="External"/>
  <ns0:Relationship Id="rId30" Type="http://schemas.openxmlformats.org/officeDocument/2006/relationships/hyperlink" Target="https://my.zakupivli.pro/remote/dispatcher/state_purchase_view/51429602" TargetMode="External"/>
  <ns0:Relationship Id="rId31" Type="http://schemas.openxmlformats.org/officeDocument/2006/relationships/hyperlink" Target="https://my.zakupivli.pro/remote/dispatcher/state_contracting_view/20643014" TargetMode="External"/>
  <ns0:Relationship Id="rId32" Type="http://schemas.openxmlformats.org/officeDocument/2006/relationships/hyperlink" Target="https://my.zakupivli.pro/remote/dispatcher/state_purchase_view/55020578" TargetMode="External"/>
  <ns0:Relationship Id="rId33" Type="http://schemas.openxmlformats.org/officeDocument/2006/relationships/hyperlink" Target="https://my.zakupivli.pro/remote/dispatcher/state_contracting_view/22192037" TargetMode="External"/>
  <ns0:Relationship Id="rId34" Type="http://schemas.openxmlformats.org/officeDocument/2006/relationships/hyperlink" Target="https://my.zakupivli.pro/remote/dispatcher/state_purchase_view/55308460" TargetMode="External"/>
  <ns0:Relationship Id="rId35" Type="http://schemas.openxmlformats.org/officeDocument/2006/relationships/hyperlink" Target="https://my.zakupivli.pro/remote/dispatcher/state_contracting_view/22315841" TargetMode="External"/>
  <ns0:Relationship Id="rId36" Type="http://schemas.openxmlformats.org/officeDocument/2006/relationships/hyperlink" Target="https://my.zakupivli.pro/remote/dispatcher/state_purchase_view/53449937" TargetMode="External"/>
  <ns0:Relationship Id="rId37" Type="http://schemas.openxmlformats.org/officeDocument/2006/relationships/hyperlink" Target="https://my.zakupivli.pro/remote/dispatcher/state_purchase_lot_view/1396984" TargetMode="External"/>
  <ns0:Relationship Id="rId38" Type="http://schemas.openxmlformats.org/officeDocument/2006/relationships/hyperlink" Target="https://my.zakupivli.pro/remote/dispatcher/state_contracting_view/21685340" TargetMode="External"/>
  <ns0:Relationship Id="rId39" Type="http://schemas.openxmlformats.org/officeDocument/2006/relationships/hyperlink" Target="https://my.zakupivli.pro/remote/dispatcher/state_purchase_view/54852111" TargetMode="External"/>
  <ns0:Relationship Id="rId40" Type="http://schemas.openxmlformats.org/officeDocument/2006/relationships/hyperlink" Target="https://my.zakupivli.pro/remote/dispatcher/state_contracting_view/22119692" TargetMode="External"/>
  <ns0:Relationship Id="rId41" Type="http://schemas.openxmlformats.org/officeDocument/2006/relationships/hyperlink" Target="https://my.zakupivli.pro/remote/dispatcher/state_purchase_view/55386473" TargetMode="External"/>
  <ns0:Relationship Id="rId42" Type="http://schemas.openxmlformats.org/officeDocument/2006/relationships/hyperlink" Target="https://my.zakupivli.pro/remote/dispatcher/state_contracting_view/22349258" TargetMode="External"/>
  <ns0:Relationship Id="rId43" Type="http://schemas.openxmlformats.org/officeDocument/2006/relationships/hyperlink" Target="https://my.zakupivli.pro/remote/dispatcher/state_purchase_view/54928379" TargetMode="External"/>
  <ns0:Relationship Id="rId44" Type="http://schemas.openxmlformats.org/officeDocument/2006/relationships/hyperlink" Target="https://my.zakupivli.pro/remote/dispatcher/state_contracting_view/22152681" TargetMode="External"/>
  <ns0:Relationship Id="rId45" Type="http://schemas.openxmlformats.org/officeDocument/2006/relationships/hyperlink" Target="https://my.zakupivli.pro/remote/dispatcher/state_purchase_view/49785967" TargetMode="External"/>
  <ns0:Relationship Id="rId46" Type="http://schemas.openxmlformats.org/officeDocument/2006/relationships/hyperlink" Target="https://my.zakupivli.pro/remote/dispatcher/state_purchase_lot_view/1231549" TargetMode="External"/>
  <ns0:Relationship Id="rId47" Type="http://schemas.openxmlformats.org/officeDocument/2006/relationships/hyperlink" Target="https://my.zakupivli.pro/remote/dispatcher/state_contracting_view/19754136" TargetMode="External"/>
  <ns0:Relationship Id="rId48" Type="http://schemas.openxmlformats.org/officeDocument/2006/relationships/hyperlink" Target="https://my.zakupivli.pro/remote/dispatcher/state_purchase_view/51793938" TargetMode="External"/>
  <ns0:Relationship Id="rId49" Type="http://schemas.openxmlformats.org/officeDocument/2006/relationships/hyperlink" Target="https://my.zakupivli.pro/remote/dispatcher/state_purchase_lot_view/1319010" TargetMode="External"/>
  <ns0:Relationship Id="rId50" Type="http://schemas.openxmlformats.org/officeDocument/2006/relationships/hyperlink" Target="https://my.zakupivli.pro/remote/dispatcher/state_contracting_view/21061973" TargetMode="External"/>
  <ns0:Relationship Id="rId51" Type="http://schemas.openxmlformats.org/officeDocument/2006/relationships/hyperlink" Target="https://my.zakupivli.pro/remote/dispatcher/state_purchase_view/49386433" TargetMode="External"/>
  <ns0:Relationship Id="rId52" Type="http://schemas.openxmlformats.org/officeDocument/2006/relationships/hyperlink" Target="https://my.zakupivli.pro/remote/dispatcher/state_purchase_lot_view/1214498" TargetMode="External"/>
  <ns0:Relationship Id="rId53" Type="http://schemas.openxmlformats.org/officeDocument/2006/relationships/hyperlink" Target="https://my.zakupivli.pro/remote/dispatcher/state_contracting_view/19620567" TargetMode="External"/>
  <ns0:Relationship Id="rId54" Type="http://schemas.openxmlformats.org/officeDocument/2006/relationships/hyperlink" Target="https://my.zakupivli.pro/remote/dispatcher/state_purchase_view/51799184" TargetMode="External"/>
  <ns0:Relationship Id="rId55" Type="http://schemas.openxmlformats.org/officeDocument/2006/relationships/hyperlink" Target="https://my.zakupivli.pro/remote/dispatcher/state_purchase_lot_view/1319149" TargetMode="External"/>
  <ns0:Relationship Id="rId56" Type="http://schemas.openxmlformats.org/officeDocument/2006/relationships/hyperlink" Target="https://my.zakupivli.pro/remote/dispatcher/state_contracting_view/20900208" TargetMode="External"/>
  <ns0:Relationship Id="rId57" Type="http://schemas.openxmlformats.org/officeDocument/2006/relationships/hyperlink" Target="https://my.zakupivli.pro/remote/dispatcher/state_purchase_view/51105554" TargetMode="External"/>
  <ns0:Relationship Id="rId58" Type="http://schemas.openxmlformats.org/officeDocument/2006/relationships/hyperlink" Target="https://my.zakupivli.pro/remote/dispatcher/state_purchase_lot_view/1288652" TargetMode="External"/>
  <ns0:Relationship Id="rId59" Type="http://schemas.openxmlformats.org/officeDocument/2006/relationships/hyperlink" Target="https://my.zakupivli.pro/remote/dispatcher/state_contracting_view/20587479" TargetMode="External"/>
  <ns0:Relationship Id="rId60" Type="http://schemas.openxmlformats.org/officeDocument/2006/relationships/hyperlink" Target="https://my.zakupivli.pro/remote/dispatcher/state_purchase_view/55393983" TargetMode="External"/>
  <ns0:Relationship Id="rId61" Type="http://schemas.openxmlformats.org/officeDocument/2006/relationships/hyperlink" Target="https://my.zakupivli.pro/remote/dispatcher/state_contracting_view/22352445" TargetMode="External"/>
  <ns0:Relationship Id="rId62" Type="http://schemas.openxmlformats.org/officeDocument/2006/relationships/hyperlink" Target="https://my.zakupivli.pro/remote/dispatcher/state_purchase_view/48100520" TargetMode="External"/>
  <ns0:Relationship Id="rId63" Type="http://schemas.openxmlformats.org/officeDocument/2006/relationships/hyperlink" Target="https://my.zakupivli.pro/remote/dispatcher/state_purchase_lot_view/1164352" TargetMode="External"/>
  <ns0:Relationship Id="rId64" Type="http://schemas.openxmlformats.org/officeDocument/2006/relationships/hyperlink" Target="https://my.zakupivli.pro/remote/dispatcher/state_contracting_view/19257707" TargetMode="External"/>
  <ns0:Relationship Id="rId65" Type="http://schemas.openxmlformats.org/officeDocument/2006/relationships/hyperlink" Target="https://my.zakupivli.pro/remote/dispatcher/state_purchase_view/48939859" TargetMode="External"/>
  <ns0:Relationship Id="rId66" Type="http://schemas.openxmlformats.org/officeDocument/2006/relationships/hyperlink" Target="https://my.zakupivli.pro/remote/dispatcher/state_contracting_view/19153242" TargetMode="External"/>
  <ns0:Relationship Id="rId67" Type="http://schemas.openxmlformats.org/officeDocument/2006/relationships/hyperlink" Target="https://my.zakupivli.pro/remote/dispatcher/state_purchase_view/48117119" TargetMode="External"/>
  <ns0:Relationship Id="rId68" Type="http://schemas.openxmlformats.org/officeDocument/2006/relationships/hyperlink" Target="https://my.zakupivli.pro/remote/dispatcher/state_purchase_lot_view/1165293" TargetMode="External"/>
  <ns0:Relationship Id="rId69" Type="http://schemas.openxmlformats.org/officeDocument/2006/relationships/hyperlink" Target="https://my.zakupivli.pro/remote/dispatcher/state_contracting_view/19101045" TargetMode="External"/>
  <ns0:Relationship Id="rId70" Type="http://schemas.openxmlformats.org/officeDocument/2006/relationships/hyperlink" Target="https://my.zakupivli.pro/remote/dispatcher/state_purchase_view/49595131" TargetMode="External"/>
  <ns0:Relationship Id="rId71" Type="http://schemas.openxmlformats.org/officeDocument/2006/relationships/hyperlink" Target="https://my.zakupivli.pro/remote/dispatcher/state_contracting_view/19434455" TargetMode="External"/>
  <ns0:Relationship Id="rId72" Type="http://schemas.openxmlformats.org/officeDocument/2006/relationships/hyperlink" Target="https://my.zakupivli.pro/remote/dispatcher/state_purchase_view/56009803" TargetMode="External"/>
  <ns0:Relationship Id="rId73" Type="http://schemas.openxmlformats.org/officeDocument/2006/relationships/hyperlink" Target="https://my.zakupivli.pro/remote/dispatcher/state_contracting_view/22619919" TargetMode="External"/>
  <ns0:Relationship Id="rId74" Type="http://schemas.openxmlformats.org/officeDocument/2006/relationships/hyperlink" Target="https://my.zakupivli.pro/remote/dispatcher/state_purchase_view/48349727" TargetMode="External"/>
  <ns0:Relationship Id="rId75" Type="http://schemas.openxmlformats.org/officeDocument/2006/relationships/hyperlink" Target="https://my.zakupivli.pro/remote/dispatcher/state_contracting_view/18902540" TargetMode="External"/>
  <ns0:Relationship Id="rId76" Type="http://schemas.openxmlformats.org/officeDocument/2006/relationships/hyperlink" Target="https://my.zakupivli.pro/remote/dispatcher/state_purchase_view/49704326" TargetMode="External"/>
  <ns0:Relationship Id="rId77" Type="http://schemas.openxmlformats.org/officeDocument/2006/relationships/hyperlink" Target="https://my.zakupivli.pro/remote/dispatcher/state_contracting_view/19481198" TargetMode="External"/>
  <ns0:Relationship Id="rId78" Type="http://schemas.openxmlformats.org/officeDocument/2006/relationships/hyperlink" Target="https://my.zakupivli.pro/remote/dispatcher/state_purchase_view/51994560" TargetMode="External"/>
  <ns0:Relationship Id="rId79" Type="http://schemas.openxmlformats.org/officeDocument/2006/relationships/hyperlink" Target="https://my.zakupivli.pro/remote/dispatcher/state_purchase_lot_view/1328737" TargetMode="External"/>
  <ns0:Relationship Id="rId80" Type="http://schemas.openxmlformats.org/officeDocument/2006/relationships/hyperlink" Target="https://my.zakupivli.pro/remote/dispatcher/state_contracting_view/20977932" TargetMode="External"/>
  <ns0:Relationship Id="rId81" Type="http://schemas.openxmlformats.org/officeDocument/2006/relationships/hyperlink" Target="https://my.zakupivli.pro/remote/dispatcher/state_purchase_view/52413423" TargetMode="External"/>
  <ns0:Relationship Id="rId82" Type="http://schemas.openxmlformats.org/officeDocument/2006/relationships/hyperlink" Target="https://my.zakupivli.pro/remote/dispatcher/state_contracting_view/21071922" TargetMode="External"/>
  <ns0:Relationship Id="rId83" Type="http://schemas.openxmlformats.org/officeDocument/2006/relationships/hyperlink" Target="https://my.zakupivli.pro/remote/dispatcher/state_purchase_view/52414512" TargetMode="External"/>
  <ns0:Relationship Id="rId84" Type="http://schemas.openxmlformats.org/officeDocument/2006/relationships/hyperlink" Target="https://my.zakupivli.pro/remote/dispatcher/state_contracting_view/21072382" TargetMode="External"/>
  <ns0:Relationship Id="rId85" Type="http://schemas.openxmlformats.org/officeDocument/2006/relationships/hyperlink" Target="https://my.zakupivli.pro/remote/dispatcher/state_purchase_view/51270006" TargetMode="External"/>
  <ns0:Relationship Id="rId86" Type="http://schemas.openxmlformats.org/officeDocument/2006/relationships/hyperlink" Target="https://my.zakupivli.pro/remote/dispatcher/state_contracting_view/20573305" TargetMode="External"/>
  <ns0:Relationship Id="rId87" Type="http://schemas.openxmlformats.org/officeDocument/2006/relationships/hyperlink" Target="https://my.zakupivli.pro/remote/dispatcher/state_purchase_view/56123312" TargetMode="External"/>
  <ns0:Relationship Id="rId88" Type="http://schemas.openxmlformats.org/officeDocument/2006/relationships/hyperlink" Target="https://my.zakupivli.pro/remote/dispatcher/state_contracting_view/22671304" TargetMode="External"/>
  <ns0:Relationship Id="rId89" Type="http://schemas.openxmlformats.org/officeDocument/2006/relationships/hyperlink" Target="https://my.zakupivli.pro/remote/dispatcher/state_purchase_view/54585899" TargetMode="External"/>
  <ns0:Relationship Id="rId90" Type="http://schemas.openxmlformats.org/officeDocument/2006/relationships/hyperlink" Target="https://my.zakupivli.pro/remote/dispatcher/state_contracting_view/22006229" TargetMode="External"/>
  <ns0:Relationship Id="rId91" Type="http://schemas.openxmlformats.org/officeDocument/2006/relationships/hyperlink" Target="https://my.zakupivli.pro/remote/dispatcher/state_purchase_view/54618059" TargetMode="External"/>
  <ns0:Relationship Id="rId92" Type="http://schemas.openxmlformats.org/officeDocument/2006/relationships/hyperlink" Target="https://my.zakupivli.pro/remote/dispatcher/state_contracting_view/22019960" TargetMode="External"/>
  <ns0:Relationship Id="rId93" Type="http://schemas.openxmlformats.org/officeDocument/2006/relationships/hyperlink" Target="https://my.zakupivli.pro/remote/dispatcher/state_purchase_view/54619274" TargetMode="External"/>
  <ns0:Relationship Id="rId94" Type="http://schemas.openxmlformats.org/officeDocument/2006/relationships/hyperlink" Target="https://my.zakupivli.pro/remote/dispatcher/state_contracting_view/22020549" TargetMode="External"/>
  <ns0:Relationship Id="rId95" Type="http://schemas.openxmlformats.org/officeDocument/2006/relationships/hyperlink" Target="https://my.zakupivli.pro/remote/dispatcher/state_purchase_view/55106634" TargetMode="External"/>
  <ns0:Relationship Id="rId96" Type="http://schemas.openxmlformats.org/officeDocument/2006/relationships/hyperlink" Target="https://my.zakupivli.pro/remote/dispatcher/state_contracting_view/22229662" TargetMode="External"/>
  <ns0:Relationship Id="rId97" Type="http://schemas.openxmlformats.org/officeDocument/2006/relationships/hyperlink" Target="https://my.zakupivli.pro/remote/dispatcher/state_purchase_view/55431438" TargetMode="External"/>
  <ns0:Relationship Id="rId98" Type="http://schemas.openxmlformats.org/officeDocument/2006/relationships/hyperlink" Target="https://my.zakupivli.pro/remote/dispatcher/state_contracting_view/22368571" TargetMode="External"/>
  <ns0:Relationship Id="rId99" Type="http://schemas.openxmlformats.org/officeDocument/2006/relationships/hyperlink" Target="https://my.zakupivli.pro/remote/dispatcher/state_purchase_view/55383783" TargetMode="External"/>
  <ns0:Relationship Id="rId100" Type="http://schemas.openxmlformats.org/officeDocument/2006/relationships/hyperlink" Target="https://my.zakupivli.pro/remote/dispatcher/state_contracting_view/22348076" TargetMode="External"/>
  <ns0:Relationship Id="rId101" Type="http://schemas.openxmlformats.org/officeDocument/2006/relationships/hyperlink" Target="https://my.zakupivli.pro/remote/dispatcher/state_purchase_view/53360407" TargetMode="External"/>
  <ns0:Relationship Id="rId102" Type="http://schemas.openxmlformats.org/officeDocument/2006/relationships/hyperlink" Target="https://my.zakupivli.pro/remote/dispatcher/state_contracting_view/21479209" TargetMode="External"/>
  <ns0:Relationship Id="rId103" Type="http://schemas.openxmlformats.org/officeDocument/2006/relationships/hyperlink" Target="https://my.zakupivli.pro/remote/dispatcher/state_purchase_view/53393874" TargetMode="External"/>
  <ns0:Relationship Id="rId104" Type="http://schemas.openxmlformats.org/officeDocument/2006/relationships/hyperlink" Target="https://my.zakupivli.pro/remote/dispatcher/state_contracting_view/21493294" TargetMode="External"/>
  <ns0:Relationship Id="rId105" Type="http://schemas.openxmlformats.org/officeDocument/2006/relationships/hyperlink" Target="https://my.zakupivli.pro/remote/dispatcher/state_purchase_view/54143597" TargetMode="External"/>
  <ns0:Relationship Id="rId106" Type="http://schemas.openxmlformats.org/officeDocument/2006/relationships/hyperlink" Target="https://my.zakupivli.pro/remote/dispatcher/state_contracting_view/21815140" TargetMode="External"/>
  <ns0:Relationship Id="rId107" Type="http://schemas.openxmlformats.org/officeDocument/2006/relationships/hyperlink" Target="https://my.zakupivli.pro/remote/dispatcher/state_purchase_view/54145835" TargetMode="External"/>
  <ns0:Relationship Id="rId108" Type="http://schemas.openxmlformats.org/officeDocument/2006/relationships/hyperlink" Target="https://my.zakupivli.pro/remote/dispatcher/state_contracting_view/21816102" TargetMode="External"/>
  <ns0:Relationship Id="rId109" Type="http://schemas.openxmlformats.org/officeDocument/2006/relationships/hyperlink" Target="https://my.zakupivli.pro/remote/dispatcher/state_purchase_view/55251735" TargetMode="External"/>
  <ns0:Relationship Id="rId110" Type="http://schemas.openxmlformats.org/officeDocument/2006/relationships/hyperlink" Target="https://my.zakupivli.pro/remote/dispatcher/state_purchase_lot_view/1476858" TargetMode="External"/>
  <ns0:Relationship Id="rId111" Type="http://schemas.openxmlformats.org/officeDocument/2006/relationships/hyperlink" Target="https://my.zakupivli.pro/remote/dispatcher/state_contracting_view/22420554" TargetMode="External"/>
  <ns0:Relationship Id="rId112" Type="http://schemas.openxmlformats.org/officeDocument/2006/relationships/hyperlink" Target="https://my.zakupivli.pro/remote/dispatcher/state_purchase_view/48216719" TargetMode="External"/>
  <ns0:Relationship Id="rId113" Type="http://schemas.openxmlformats.org/officeDocument/2006/relationships/hyperlink" Target="https://my.zakupivli.pro/remote/dispatcher/state_contracting_view/18851054" TargetMode="External"/>
  <ns0:Relationship Id="rId114" Type="http://schemas.openxmlformats.org/officeDocument/2006/relationships/hyperlink" Target="https://my.zakupivli.pro/remote/dispatcher/state_purchase_view/48263597" TargetMode="External"/>
  <ns0:Relationship Id="rId115" Type="http://schemas.openxmlformats.org/officeDocument/2006/relationships/hyperlink" Target="https://my.zakupivli.pro/remote/dispatcher/state_contracting_view/18868842" TargetMode="External"/>
  <ns0:Relationship Id="rId116" Type="http://schemas.openxmlformats.org/officeDocument/2006/relationships/hyperlink" Target="https://my.zakupivli.pro/remote/dispatcher/state_purchase_view/48927256" TargetMode="External"/>
  <ns0:Relationship Id="rId117" Type="http://schemas.openxmlformats.org/officeDocument/2006/relationships/hyperlink" Target="https://my.zakupivli.pro/remote/dispatcher/state_contracting_view/19147922" TargetMode="External"/>
  <ns0:Relationship Id="rId118" Type="http://schemas.openxmlformats.org/officeDocument/2006/relationships/hyperlink" Target="https://my.zakupivli.pro/remote/dispatcher/state_purchase_view/50717080" TargetMode="External"/>
  <ns0:Relationship Id="rId119" Type="http://schemas.openxmlformats.org/officeDocument/2006/relationships/hyperlink" Target="https://my.zakupivli.pro/remote/dispatcher/state_purchase_lot_view/1270919" TargetMode="External"/>
  <ns0:Relationship Id="rId120" Type="http://schemas.openxmlformats.org/officeDocument/2006/relationships/hyperlink" Target="https://my.zakupivli.pro/remote/dispatcher/state_contracting_view/20255694" TargetMode="External"/>
  <ns0:Relationship Id="rId121" Type="http://schemas.openxmlformats.org/officeDocument/2006/relationships/hyperlink" Target="https://my.zakupivli.pro/remote/dispatcher/state_purchase_view/50898260" TargetMode="External"/>
  <ns0:Relationship Id="rId122" Type="http://schemas.openxmlformats.org/officeDocument/2006/relationships/hyperlink" Target="https://my.zakupivli.pro/remote/dispatcher/state_contracting_view/20255932" TargetMode="External"/>
  <ns0:Relationship Id="rId123" Type="http://schemas.openxmlformats.org/officeDocument/2006/relationships/hyperlink" Target="https://my.zakupivli.pro/remote/dispatcher/state_purchase_view/50903085" TargetMode="External"/>
  <ns0:Relationship Id="rId124" Type="http://schemas.openxmlformats.org/officeDocument/2006/relationships/hyperlink" Target="https://my.zakupivli.pro/remote/dispatcher/state_contracting_view/20257964" TargetMode="External"/>
  <ns0:Relationship Id="rId125" Type="http://schemas.openxmlformats.org/officeDocument/2006/relationships/hyperlink" Target="https://my.zakupivli.pro/remote/dispatcher/state_purchase_view/50731584" TargetMode="External"/>
  <ns0:Relationship Id="rId126" Type="http://schemas.openxmlformats.org/officeDocument/2006/relationships/hyperlink" Target="https://my.zakupivli.pro/remote/dispatcher/state_contracting_view/19931342" TargetMode="External"/>
  <ns0:Relationship Id="rId127" Type="http://schemas.openxmlformats.org/officeDocument/2006/relationships/hyperlink" Target="https://my.zakupivli.pro/remote/dispatcher/state_purchase_view/50079298" TargetMode="External"/>
  <ns0:Relationship Id="rId128" Type="http://schemas.openxmlformats.org/officeDocument/2006/relationships/hyperlink" Target="https://my.zakupivli.pro/remote/dispatcher/state_contracting_view/19643167" TargetMode="External"/>
  <ns0:Relationship Id="rId129" Type="http://schemas.openxmlformats.org/officeDocument/2006/relationships/hyperlink" Target="https://my.zakupivli.pro/remote/dispatcher/state_purchase_view/49534185" TargetMode="External"/>
  <ns0:Relationship Id="rId130" Type="http://schemas.openxmlformats.org/officeDocument/2006/relationships/hyperlink" Target="https://my.zakupivli.pro/remote/dispatcher/state_contracting_view/19408159" TargetMode="External"/>
  <ns0:Relationship Id="rId131" Type="http://schemas.openxmlformats.org/officeDocument/2006/relationships/hyperlink" Target="https://my.zakupivli.pro/remote/dispatcher/state_purchase_view/48596632" TargetMode="External"/>
  <ns0:Relationship Id="rId132" Type="http://schemas.openxmlformats.org/officeDocument/2006/relationships/hyperlink" Target="https://my.zakupivli.pro/remote/dispatcher/state_contracting_view/19005690" TargetMode="External"/>
  <ns0:Relationship Id="rId133" Type="http://schemas.openxmlformats.org/officeDocument/2006/relationships/hyperlink" Target="https://my.zakupivli.pro/remote/dispatcher/state_purchase_view/51326351" TargetMode="External"/>
  <ns0:Relationship Id="rId134" Type="http://schemas.openxmlformats.org/officeDocument/2006/relationships/hyperlink" Target="https://my.zakupivli.pro/remote/dispatcher/state_contracting_view/20598076" TargetMode="External"/>
  <ns0:Relationship Id="rId135" Type="http://schemas.openxmlformats.org/officeDocument/2006/relationships/hyperlink" Target="https://my.zakupivli.pro/remote/dispatcher/state_purchase_view/51486396" TargetMode="External"/>
  <ns0:Relationship Id="rId136" Type="http://schemas.openxmlformats.org/officeDocument/2006/relationships/hyperlink" Target="https://my.zakupivli.pro/remote/dispatcher/state_contracting_view/20667516" TargetMode="External"/>
  <ns0:Relationship Id="rId137" Type="http://schemas.openxmlformats.org/officeDocument/2006/relationships/hyperlink" Target="https://my.zakupivli.pro/remote/dispatcher/state_purchase_view/51501071" TargetMode="External"/>
  <ns0:Relationship Id="rId138" Type="http://schemas.openxmlformats.org/officeDocument/2006/relationships/hyperlink" Target="https://my.zakupivli.pro/remote/dispatcher/state_contracting_view/20673824" TargetMode="External"/>
  <ns0:Relationship Id="rId139" Type="http://schemas.openxmlformats.org/officeDocument/2006/relationships/hyperlink" Target="https://my.zakupivli.pro/remote/dispatcher/state_purchase_view/52741198" TargetMode="External"/>
  <ns0:Relationship Id="rId140" Type="http://schemas.openxmlformats.org/officeDocument/2006/relationships/hyperlink" Target="https://my.zakupivli.pro/remote/dispatcher/state_contracting_view/21212789" TargetMode="External"/>
  <ns0:Relationship Id="rId141" Type="http://schemas.openxmlformats.org/officeDocument/2006/relationships/hyperlink" Target="https://my.zakupivli.pro/remote/dispatcher/state_purchase_view/53197774" TargetMode="External"/>
  <ns0:Relationship Id="rId142" Type="http://schemas.openxmlformats.org/officeDocument/2006/relationships/hyperlink" Target="https://my.zakupivli.pro/remote/dispatcher/state_contracting_view/21410279" TargetMode="External"/>
  <ns0:Relationship Id="rId143" Type="http://schemas.openxmlformats.org/officeDocument/2006/relationships/hyperlink" Target="https://my.zakupivli.pro/remote/dispatcher/state_purchase_view/52893622" TargetMode="External"/>
  <ns0:Relationship Id="rId144" Type="http://schemas.openxmlformats.org/officeDocument/2006/relationships/hyperlink" Target="https://my.zakupivli.pro/remote/dispatcher/state_contracting_view/21279564" TargetMode="External"/>
  <ns0:Relationship Id="rId145" Type="http://schemas.openxmlformats.org/officeDocument/2006/relationships/hyperlink" Target="https://my.zakupivli.pro/remote/dispatcher/state_purchase_view/52894153" TargetMode="External"/>
  <ns0:Relationship Id="rId146" Type="http://schemas.openxmlformats.org/officeDocument/2006/relationships/hyperlink" Target="https://my.zakupivli.pro/remote/dispatcher/state_contracting_view/21279846" TargetMode="External"/>
  <ns0:Relationship Id="rId147" Type="http://schemas.openxmlformats.org/officeDocument/2006/relationships/hyperlink" Target="https://my.zakupivli.pro/remote/dispatcher/state_purchase_view/52673207" TargetMode="External"/>
  <ns0:Relationship Id="rId148" Type="http://schemas.openxmlformats.org/officeDocument/2006/relationships/hyperlink" Target="https://my.zakupivli.pro/remote/dispatcher/state_contracting_view/21183865" TargetMode="External"/>
  <ns0:Relationship Id="rId149" Type="http://schemas.openxmlformats.org/officeDocument/2006/relationships/hyperlink" Target="https://my.zakupivli.pro/remote/dispatcher/state_purchase_view/50279038" TargetMode="External"/>
  <ns0:Relationship Id="rId150" Type="http://schemas.openxmlformats.org/officeDocument/2006/relationships/hyperlink" Target="https://my.zakupivli.pro/remote/dispatcher/state_purchase_lot_view/1252804" TargetMode="External"/>
  <ns0:Relationship Id="rId151" Type="http://schemas.openxmlformats.org/officeDocument/2006/relationships/hyperlink" Target="https://my.zakupivli.pro/remote/dispatcher/state_contracting_view/19820539" TargetMode="External"/>
  <ns0:Relationship Id="rId152" Type="http://schemas.openxmlformats.org/officeDocument/2006/relationships/hyperlink" Target="https://my.zakupivli.pro/remote/dispatcher/state_purchase_view/49006679" TargetMode="External"/>
  <ns0:Relationship Id="rId153" Type="http://schemas.openxmlformats.org/officeDocument/2006/relationships/hyperlink" Target="https://my.zakupivli.pro/remote/dispatcher/state_contracting_view/19181597" TargetMode="External"/>
  <ns0:Relationship Id="rId154" Type="http://schemas.openxmlformats.org/officeDocument/2006/relationships/hyperlink" Target="https://my.zakupivli.pro/remote/dispatcher/state_purchase_view/51383182" TargetMode="External"/>
  <ns0:Relationship Id="rId155" Type="http://schemas.openxmlformats.org/officeDocument/2006/relationships/hyperlink" Target="https://my.zakupivli.pro/remote/dispatcher/state_purchase_lot_view/1300725" TargetMode="External"/>
  <ns0:Relationship Id="rId156" Type="http://schemas.openxmlformats.org/officeDocument/2006/relationships/hyperlink" Target="https://my.zakupivli.pro/remote/dispatcher/state_contracting_view/20692816" TargetMode="External"/>
  <ns0:Relationship Id="rId157" Type="http://schemas.openxmlformats.org/officeDocument/2006/relationships/hyperlink" Target="https://my.zakupivli.pro/remote/dispatcher/state_purchase_view/52574115" TargetMode="External"/>
  <ns0:Relationship Id="rId158" Type="http://schemas.openxmlformats.org/officeDocument/2006/relationships/hyperlink" Target="https://my.zakupivli.pro/remote/dispatcher/state_contracting_view/21140883" TargetMode="External"/>
  <ns0:Relationship Id="rId159" Type="http://schemas.openxmlformats.org/officeDocument/2006/relationships/hyperlink" Target="https://my.zakupivli.pro/remote/dispatcher/state_purchase_view/48258040" TargetMode="External"/>
  <ns0:Relationship Id="rId160" Type="http://schemas.openxmlformats.org/officeDocument/2006/relationships/hyperlink" Target="https://my.zakupivli.pro/remote/dispatcher/state_contracting_view/18866720" TargetMode="External"/>
  <ns0:Relationship Id="rId161" Type="http://schemas.openxmlformats.org/officeDocument/2006/relationships/hyperlink" Target="https://my.zakupivli.pro/remote/dispatcher/state_purchase_view/48923924" TargetMode="External"/>
  <ns0:Relationship Id="rId162" Type="http://schemas.openxmlformats.org/officeDocument/2006/relationships/hyperlink" Target="https://my.zakupivli.pro/remote/dispatcher/state_contracting_view/19146343" TargetMode="External"/>
  <ns0:Relationship Id="rId163" Type="http://schemas.openxmlformats.org/officeDocument/2006/relationships/hyperlink" Target="https://my.zakupivli.pro/remote/dispatcher/state_purchase_view/49271895" TargetMode="External"/>
  <ns0:Relationship Id="rId164" Type="http://schemas.openxmlformats.org/officeDocument/2006/relationships/hyperlink" Target="https://my.zakupivli.pro/remote/dispatcher/state_contracting_view/19295344" TargetMode="External"/>
  <ns0:Relationship Id="rId165" Type="http://schemas.openxmlformats.org/officeDocument/2006/relationships/hyperlink" Target="https://my.zakupivli.pro/remote/dispatcher/state_purchase_view/48833606" TargetMode="External"/>
  <ns0:Relationship Id="rId166" Type="http://schemas.openxmlformats.org/officeDocument/2006/relationships/hyperlink" Target="https://my.zakupivli.pro/remote/dispatcher/state_contracting_view/19107395" TargetMode="External"/>
  <ns0:Relationship Id="rId167" Type="http://schemas.openxmlformats.org/officeDocument/2006/relationships/hyperlink" Target="https://my.zakupivli.pro/remote/dispatcher/state_purchase_view/50426363" TargetMode="External"/>
  <ns0:Relationship Id="rId168" Type="http://schemas.openxmlformats.org/officeDocument/2006/relationships/hyperlink" Target="https://my.zakupivli.pro/remote/dispatcher/state_contracting_view/19795723" TargetMode="External"/>
  <ns0:Relationship Id="rId169" Type="http://schemas.openxmlformats.org/officeDocument/2006/relationships/hyperlink" Target="https://my.zakupivli.pro/remote/dispatcher/state_purchase_view/49757626" TargetMode="External"/>
  <ns0:Relationship Id="rId170" Type="http://schemas.openxmlformats.org/officeDocument/2006/relationships/hyperlink" Target="https://my.zakupivli.pro/remote/dispatcher/state_contracting_view/19504188" TargetMode="External"/>
  <ns0:Relationship Id="rId171" Type="http://schemas.openxmlformats.org/officeDocument/2006/relationships/hyperlink" Target="https://my.zakupivli.pro/remote/dispatcher/state_purchase_view/49349943" TargetMode="External"/>
  <ns0:Relationship Id="rId172" Type="http://schemas.openxmlformats.org/officeDocument/2006/relationships/hyperlink" Target="https://my.zakupivli.pro/remote/dispatcher/state_contracting_view/19329022" TargetMode="External"/>
  <ns0:Relationship Id="rId173" Type="http://schemas.openxmlformats.org/officeDocument/2006/relationships/hyperlink" Target="https://my.zakupivli.pro/remote/dispatcher/state_purchase_view/49860072" TargetMode="External"/>
  <ns0:Relationship Id="rId174" Type="http://schemas.openxmlformats.org/officeDocument/2006/relationships/hyperlink" Target="https://my.zakupivli.pro/remote/dispatcher/state_contracting_view/19547911" TargetMode="External"/>
  <ns0:Relationship Id="rId175" Type="http://schemas.openxmlformats.org/officeDocument/2006/relationships/hyperlink" Target="https://my.zakupivli.pro/remote/dispatcher/state_purchase_view/49706155" TargetMode="External"/>
  <ns0:Relationship Id="rId176" Type="http://schemas.openxmlformats.org/officeDocument/2006/relationships/hyperlink" Target="https://my.zakupivli.pro/remote/dispatcher/state_contracting_view/19481755" TargetMode="External"/>
  <ns0:Relationship Id="rId177" Type="http://schemas.openxmlformats.org/officeDocument/2006/relationships/hyperlink" Target="https://my.zakupivli.pro/remote/dispatcher/state_purchase_view/51121520" TargetMode="External"/>
  <ns0:Relationship Id="rId178" Type="http://schemas.openxmlformats.org/officeDocument/2006/relationships/hyperlink" Target="https://my.zakupivli.pro/remote/dispatcher/state_contracting_view/20508911" TargetMode="External"/>
  <ns0:Relationship Id="rId179" Type="http://schemas.openxmlformats.org/officeDocument/2006/relationships/hyperlink" Target="https://my.zakupivli.pro/remote/dispatcher/state_purchase_view/48641969" TargetMode="External"/>
  <ns0:Relationship Id="rId180" Type="http://schemas.openxmlformats.org/officeDocument/2006/relationships/hyperlink" Target="https://my.zakupivli.pro/remote/dispatcher/state_contracting_view/19024880" TargetMode="External"/>
  <ns0:Relationship Id="rId181" Type="http://schemas.openxmlformats.org/officeDocument/2006/relationships/hyperlink" Target="https://my.zakupivli.pro/remote/dispatcher/state_purchase_view/51453580" TargetMode="External"/>
  <ns0:Relationship Id="rId182" Type="http://schemas.openxmlformats.org/officeDocument/2006/relationships/hyperlink" Target="https://my.zakupivli.pro/remote/dispatcher/state_contracting_view/20653239" TargetMode="External"/>
  <ns0:Relationship Id="rId183" Type="http://schemas.openxmlformats.org/officeDocument/2006/relationships/hyperlink" Target="https://my.zakupivli.pro/remote/dispatcher/state_purchase_view/51416101" TargetMode="External"/>
  <ns0:Relationship Id="rId184" Type="http://schemas.openxmlformats.org/officeDocument/2006/relationships/hyperlink" Target="https://my.zakupivli.pro/remote/dispatcher/state_contracting_view/20637168" TargetMode="External"/>
  <ns0:Relationship Id="rId185" Type="http://schemas.openxmlformats.org/officeDocument/2006/relationships/hyperlink" Target="https://my.zakupivli.pro/remote/dispatcher/state_purchase_view/55726765" TargetMode="External"/>
  <ns0:Relationship Id="rId186" Type="http://schemas.openxmlformats.org/officeDocument/2006/relationships/hyperlink" Target="https://my.zakupivli.pro/remote/dispatcher/state_contracting_view/22495642" TargetMode="External"/>
  <ns0:Relationship Id="rId187" Type="http://schemas.openxmlformats.org/officeDocument/2006/relationships/hyperlink" Target="https://my.zakupivli.pro/remote/dispatcher/state_purchase_view/55336642" TargetMode="External"/>
  <ns0:Relationship Id="rId188" Type="http://schemas.openxmlformats.org/officeDocument/2006/relationships/hyperlink" Target="https://my.zakupivli.pro/remote/dispatcher/state_contracting_view/22327833" TargetMode="External"/>
  <ns0:Relationship Id="rId189" Type="http://schemas.openxmlformats.org/officeDocument/2006/relationships/hyperlink" Target="https://my.zakupivli.pro/remote/dispatcher/state_purchase_view/55183733" TargetMode="External"/>
  <ns0:Relationship Id="rId190" Type="http://schemas.openxmlformats.org/officeDocument/2006/relationships/hyperlink" Target="https://my.zakupivli.pro/remote/dispatcher/state_contracting_view/22262702" TargetMode="External"/>
  <ns0:Relationship Id="rId191" Type="http://schemas.openxmlformats.org/officeDocument/2006/relationships/hyperlink" Target="https://my.zakupivli.pro/remote/dispatcher/state_purchase_view/55601785" TargetMode="External"/>
  <ns0:Relationship Id="rId192" Type="http://schemas.openxmlformats.org/officeDocument/2006/relationships/hyperlink" Target="https://my.zakupivli.pro/remote/dispatcher/state_contracting_view/22441948" TargetMode="External"/>
  <ns0:Relationship Id="rId193" Type="http://schemas.openxmlformats.org/officeDocument/2006/relationships/hyperlink" Target="https://my.zakupivli.pro/remote/dispatcher/state_purchase_view/52508079" TargetMode="External"/>
  <ns0:Relationship Id="rId194" Type="http://schemas.openxmlformats.org/officeDocument/2006/relationships/hyperlink" Target="https://my.zakupivli.pro/remote/dispatcher/state_contracting_view/21112317" TargetMode="External"/>
  <ns0:Relationship Id="rId195" Type="http://schemas.openxmlformats.org/officeDocument/2006/relationships/hyperlink" Target="https://my.zakupivli.pro/remote/dispatcher/state_purchase_view/48887380" TargetMode="External"/>
  <ns0:Relationship Id="rId196" Type="http://schemas.openxmlformats.org/officeDocument/2006/relationships/hyperlink" Target="https://my.zakupivli.pro/remote/dispatcher/state_contracting_view/19130269" TargetMode="External"/>
  <ns0:Relationship Id="rId197" Type="http://schemas.openxmlformats.org/officeDocument/2006/relationships/hyperlink" Target="https://my.zakupivli.pro/remote/dispatcher/state_purchase_view/55495589" TargetMode="External"/>
  <ns0:Relationship Id="rId198" Type="http://schemas.openxmlformats.org/officeDocument/2006/relationships/hyperlink" Target="https://my.zakupivli.pro/remote/dispatcher/state_contracting_view/22396005" TargetMode="External"/>
  <ns0:Relationship Id="rId199" Type="http://schemas.openxmlformats.org/officeDocument/2006/relationships/hyperlink" Target="https://my.zakupivli.pro/remote/dispatcher/state_purchase_view/52331259" TargetMode="External"/>
  <ns0:Relationship Id="rId200" Type="http://schemas.openxmlformats.org/officeDocument/2006/relationships/hyperlink" Target="https://my.zakupivli.pro/remote/dispatcher/state_contracting_view/21035772" TargetMode="External"/>
  <ns0:Relationship Id="rId201" Type="http://schemas.openxmlformats.org/officeDocument/2006/relationships/hyperlink" Target="https://my.zakupivli.pro/remote/dispatcher/state_purchase_view/54039077" TargetMode="External"/>
  <ns0:Relationship Id="rId202" Type="http://schemas.openxmlformats.org/officeDocument/2006/relationships/hyperlink" Target="https://my.zakupivli.pro/remote/dispatcher/state_contracting_view/21769739" TargetMode="External"/>
  <ns0:Relationship Id="rId203" Type="http://schemas.openxmlformats.org/officeDocument/2006/relationships/hyperlink" Target="https://my.zakupivli.pro/remote/dispatcher/state_purchase_view/53607184" TargetMode="External"/>
  <ns0:Relationship Id="rId204" Type="http://schemas.openxmlformats.org/officeDocument/2006/relationships/hyperlink" Target="https://my.zakupivli.pro/remote/dispatcher/state_contracting_view/21583603" TargetMode="External"/>
  <ns0:Relationship Id="rId205" Type="http://schemas.openxmlformats.org/officeDocument/2006/relationships/hyperlink" Target="https://my.zakupivli.pro/remote/dispatcher/state_purchase_view/54342715" TargetMode="External"/>
  <ns0:Relationship Id="rId206" Type="http://schemas.openxmlformats.org/officeDocument/2006/relationships/hyperlink" Target="https://my.zakupivli.pro/remote/dispatcher/state_purchase_lot_view/1437363" TargetMode="External"/>
  <ns0:Relationship Id="rId207" Type="http://schemas.openxmlformats.org/officeDocument/2006/relationships/hyperlink" Target="https://my.zakupivli.pro/remote/dispatcher/state_contracting_view/22110993" TargetMode="External"/>
  <ns0:Relationship Id="rId208" Type="http://schemas.openxmlformats.org/officeDocument/2006/relationships/hyperlink" Target="https://my.zakupivli.pro/remote/dispatcher/state_purchase_view/48025995" TargetMode="External"/>
  <ns0:Relationship Id="rId209" Type="http://schemas.openxmlformats.org/officeDocument/2006/relationships/hyperlink" Target="https://my.zakupivli.pro/remote/dispatcher/state_purchase_lot_view/1161125" TargetMode="External"/>
  <ns0:Relationship Id="rId210" Type="http://schemas.openxmlformats.org/officeDocument/2006/relationships/hyperlink" Target="https://my.zakupivli.pro/remote/dispatcher/state_contracting_view/18919307" TargetMode="External"/>
  <ns0:Relationship Id="rId211" Type="http://schemas.openxmlformats.org/officeDocument/2006/relationships/hyperlink" Target="https://my.zakupivli.pro/remote/dispatcher/state_purchase_view/55014914" TargetMode="External"/>
  <ns0:Relationship Id="rId212" Type="http://schemas.openxmlformats.org/officeDocument/2006/relationships/hyperlink" Target="https://my.zakupivli.pro/remote/dispatcher/state_contracting_view/22189742" TargetMode="External"/>
  <ns0:Relationship Id="rId213" Type="http://schemas.openxmlformats.org/officeDocument/2006/relationships/hyperlink" Target="https://my.zakupivli.pro/remote/dispatcher/state_purchase_view/49378790" TargetMode="External"/>
  <ns0:Relationship Id="rId214" Type="http://schemas.openxmlformats.org/officeDocument/2006/relationships/hyperlink" Target="https://my.zakupivli.pro/remote/dispatcher/state_contracting_view/19341269" TargetMode="External"/>
  <ns0:Relationship Id="rId215" Type="http://schemas.openxmlformats.org/officeDocument/2006/relationships/hyperlink" Target="https://my.zakupivli.pro/remote/dispatcher/state_purchase_view/52673365" TargetMode="External"/>
  <ns0:Relationship Id="rId216" Type="http://schemas.openxmlformats.org/officeDocument/2006/relationships/hyperlink" Target="https://my.zakupivli.pro/remote/dispatcher/state_contracting_view/21183917" TargetMode="External"/>
  <ns0:Relationship Id="rId217" Type="http://schemas.openxmlformats.org/officeDocument/2006/relationships/hyperlink" Target="https://my.zakupivli.pro/remote/dispatcher/state_purchase_view/54561502" TargetMode="External"/>
  <ns0:Relationship Id="rId218" Type="http://schemas.openxmlformats.org/officeDocument/2006/relationships/hyperlink" Target="https://my.zakupivli.pro/remote/dispatcher/state_purchase_lot_view/1447153" TargetMode="External"/>
  <ns0:Relationship Id="rId219" Type="http://schemas.openxmlformats.org/officeDocument/2006/relationships/hyperlink" Target="https://my.zakupivli.pro/remote/dispatcher/state_contracting_view/22118825" TargetMode="External"/>
  <ns0:Relationship Id="rId220" Type="http://schemas.openxmlformats.org/officeDocument/2006/relationships/hyperlink" Target="https://my.zakupivli.pro/remote/dispatcher/state_purchase_view/50899707" TargetMode="External"/>
  <ns0:Relationship Id="rId221" Type="http://schemas.openxmlformats.org/officeDocument/2006/relationships/hyperlink" Target="https://my.zakupivli.pro/remote/dispatcher/state_purchase_lot_view/1279662" TargetMode="External"/>
  <ns0:Relationship Id="rId222" Type="http://schemas.openxmlformats.org/officeDocument/2006/relationships/hyperlink" Target="https://my.zakupivli.pro/remote/dispatcher/state_contracting_view/20522111" TargetMode="External"/>
  <ns0:Relationship Id="rId223" Type="http://schemas.openxmlformats.org/officeDocument/2006/relationships/hyperlink" Target="https://my.zakupivli.pro/remote/dispatcher/state_purchase_view/52890043" TargetMode="External"/>
  <ns0:Relationship Id="rId224" Type="http://schemas.openxmlformats.org/officeDocument/2006/relationships/hyperlink" Target="https://my.zakupivli.pro/remote/dispatcher/state_contracting_view/21278082" TargetMode="External"/>
  <ns0:Relationship Id="rId225" Type="http://schemas.openxmlformats.org/officeDocument/2006/relationships/hyperlink" Target="https://my.zakupivli.pro/remote/dispatcher/state_purchase_view/52889245" TargetMode="External"/>
  <ns0:Relationship Id="rId226" Type="http://schemas.openxmlformats.org/officeDocument/2006/relationships/hyperlink" Target="https://my.zakupivli.pro/remote/dispatcher/state_contracting_view/21277723" TargetMode="External"/>
  <ns0:Relationship Id="rId227" Type="http://schemas.openxmlformats.org/officeDocument/2006/relationships/hyperlink" Target="https://my.zakupivli.pro/remote/dispatcher/state_purchase_view/52902695" TargetMode="External"/>
  <ns0:Relationship Id="rId228" Type="http://schemas.openxmlformats.org/officeDocument/2006/relationships/hyperlink" Target="https://my.zakupivli.pro/remote/dispatcher/state_contracting_view/21283453" TargetMode="External"/>
  <ns0:Relationship Id="rId229" Type="http://schemas.openxmlformats.org/officeDocument/2006/relationships/hyperlink" Target="https://my.zakupivli.pro/remote/dispatcher/state_purchase_view/51995046" TargetMode="External"/>
  <ns0:Relationship Id="rId230" Type="http://schemas.openxmlformats.org/officeDocument/2006/relationships/hyperlink" Target="https://my.zakupivli.pro/remote/dispatcher/state_contracting_view/20888935" TargetMode="External"/>
  <ns0:Relationship Id="rId231" Type="http://schemas.openxmlformats.org/officeDocument/2006/relationships/hyperlink" Target="https://my.zakupivli.pro/remote/dispatcher/state_purchase_view/53387456" TargetMode="External"/>
  <ns0:Relationship Id="rId232" Type="http://schemas.openxmlformats.org/officeDocument/2006/relationships/hyperlink" Target="https://my.zakupivli.pro/remote/dispatcher/state_contracting_view/21490577" TargetMode="External"/>
  <ns0:Relationship Id="rId233" Type="http://schemas.openxmlformats.org/officeDocument/2006/relationships/hyperlink" Target="https://my.zakupivli.pro/remote/dispatcher/state_purchase_view/52974882" TargetMode="External"/>
  <ns0:Relationship Id="rId234" Type="http://schemas.openxmlformats.org/officeDocument/2006/relationships/hyperlink" Target="https://my.zakupivli.pro/remote/dispatcher/state_contracting_view/21315040" TargetMode="External"/>
  <ns0:Relationship Id="rId235" Type="http://schemas.openxmlformats.org/officeDocument/2006/relationships/hyperlink" Target="https://my.zakupivli.pro/remote/dispatcher/state_purchase_view/53903118" TargetMode="External"/>
  <ns0:Relationship Id="rId236" Type="http://schemas.openxmlformats.org/officeDocument/2006/relationships/hyperlink" Target="https://my.zakupivli.pro/remote/dispatcher/state_contracting_view/21710939" TargetMode="External"/>
  <ns0:Relationship Id="rId237" Type="http://schemas.openxmlformats.org/officeDocument/2006/relationships/hyperlink" Target="https://my.zakupivli.pro/remote/dispatcher/state_purchase_view/52060257" TargetMode="External"/>
  <ns0:Relationship Id="rId238" Type="http://schemas.openxmlformats.org/officeDocument/2006/relationships/hyperlink" Target="https://my.zakupivli.pro/remote/dispatcher/state_contracting_view/20917384" TargetMode="External"/>
  <ns0:Relationship Id="rId239" Type="http://schemas.openxmlformats.org/officeDocument/2006/relationships/hyperlink" Target="https://my.zakupivli.pro/remote/dispatcher/state_purchase_view/54145184" TargetMode="External"/>
  <ns0:Relationship Id="rId240" Type="http://schemas.openxmlformats.org/officeDocument/2006/relationships/hyperlink" Target="https://my.zakupivli.pro/remote/dispatcher/state_contracting_view/21815867" TargetMode="External"/>
  <ns0:Relationship Id="rId241" Type="http://schemas.openxmlformats.org/officeDocument/2006/relationships/hyperlink" Target="https://my.zakupivli.pro/remote/dispatcher/state_purchase_view/52926891" TargetMode="External"/>
  <ns0:Relationship Id="rId242" Type="http://schemas.openxmlformats.org/officeDocument/2006/relationships/hyperlink" Target="https://my.zakupivli.pro/remote/dispatcher/state_purchase_lot_view/1372674" TargetMode="External"/>
  <ns0:Relationship Id="rId243" Type="http://schemas.openxmlformats.org/officeDocument/2006/relationships/hyperlink" Target="https://my.zakupivli.pro/remote/dispatcher/state_contracting_view/21382371" TargetMode="External"/>
  <ns0:Relationship Id="rId244" Type="http://schemas.openxmlformats.org/officeDocument/2006/relationships/hyperlink" Target="https://my.zakupivli.pro/remote/dispatcher/state_purchase_view/50790410" TargetMode="External"/>
  <ns0:Relationship Id="rId245" Type="http://schemas.openxmlformats.org/officeDocument/2006/relationships/hyperlink" Target="https://my.zakupivli.pro/remote/dispatcher/state_contracting_view/19957169" TargetMode="External"/>
  <ns0:Relationship Id="rId246" Type="http://schemas.openxmlformats.org/officeDocument/2006/relationships/hyperlink" Target="https://my.zakupivli.pro/remote/dispatcher/state_purchase_view/50802675" TargetMode="External"/>
  <ns0:Relationship Id="rId247" Type="http://schemas.openxmlformats.org/officeDocument/2006/relationships/hyperlink" Target="https://my.zakupivli.pro/remote/dispatcher/state_contracting_view/19962620" TargetMode="External"/>
  <ns0:Relationship Id="rId248" Type="http://schemas.openxmlformats.org/officeDocument/2006/relationships/hyperlink" Target="https://my.zakupivli.pro/remote/dispatcher/state_purchase_view/50334741" TargetMode="External"/>
  <ns0:Relationship Id="rId249" Type="http://schemas.openxmlformats.org/officeDocument/2006/relationships/hyperlink" Target="https://my.zakupivli.pro/remote/dispatcher/state_contracting_view/19754246" TargetMode="External"/>
  <ns0:Relationship Id="rId250" Type="http://schemas.openxmlformats.org/officeDocument/2006/relationships/hyperlink" Target="https://my.zakupivli.pro/remote/dispatcher/state_purchase_view/49756575" TargetMode="External"/>
  <ns0:Relationship Id="rId251" Type="http://schemas.openxmlformats.org/officeDocument/2006/relationships/hyperlink" Target="https://my.zakupivli.pro/remote/dispatcher/state_contracting_view/19503579" TargetMode="External"/>
  <ns0:Relationship Id="rId252" Type="http://schemas.openxmlformats.org/officeDocument/2006/relationships/hyperlink" Target="https://my.zakupivli.pro/remote/dispatcher/state_purchase_view/50116041" TargetMode="External"/>
  <ns0:Relationship Id="rId253" Type="http://schemas.openxmlformats.org/officeDocument/2006/relationships/hyperlink" Target="https://my.zakupivli.pro/remote/dispatcher/state_purchase_lot_view/1245783" TargetMode="External"/>
  <ns0:Relationship Id="rId254" Type="http://schemas.openxmlformats.org/officeDocument/2006/relationships/hyperlink" Target="https://my.zakupivli.pro/remote/dispatcher/state_contracting_view/19876038" TargetMode="External"/>
  <ns0:Relationship Id="rId255" Type="http://schemas.openxmlformats.org/officeDocument/2006/relationships/hyperlink" Target="https://my.zakupivli.pro/remote/dispatcher/state_purchase_view/50623998" TargetMode="External"/>
  <ns0:Relationship Id="rId256" Type="http://schemas.openxmlformats.org/officeDocument/2006/relationships/hyperlink" Target="https://my.zakupivli.pro/remote/dispatcher/state_contracting_view/19883685" TargetMode="External"/>
  <ns0:Relationship Id="rId257" Type="http://schemas.openxmlformats.org/officeDocument/2006/relationships/hyperlink" Target="https://my.zakupivli.pro/remote/dispatcher/state_purchase_view/50392513" TargetMode="External"/>
  <ns0:Relationship Id="rId258" Type="http://schemas.openxmlformats.org/officeDocument/2006/relationships/hyperlink" Target="https://my.zakupivli.pro/remote/dispatcher/state_contracting_view/19780282" TargetMode="External"/>
  <ns0:Relationship Id="rId259" Type="http://schemas.openxmlformats.org/officeDocument/2006/relationships/hyperlink" Target="https://my.zakupivli.pro/remote/dispatcher/state_purchase_view/49984450" TargetMode="External"/>
  <ns0:Relationship Id="rId260" Type="http://schemas.openxmlformats.org/officeDocument/2006/relationships/hyperlink" Target="https://my.zakupivli.pro/remote/dispatcher/state_contracting_view/19601366" TargetMode="External"/>
  <ns0:Relationship Id="rId261" Type="http://schemas.openxmlformats.org/officeDocument/2006/relationships/hyperlink" Target="https://my.zakupivli.pro/remote/dispatcher/state_purchase_view/48198173" TargetMode="External"/>
  <ns0:Relationship Id="rId262" Type="http://schemas.openxmlformats.org/officeDocument/2006/relationships/hyperlink" Target="https://my.zakupivli.pro/remote/dispatcher/state_contracting_view/18842651" TargetMode="External"/>
  <ns0:Relationship Id="rId263" Type="http://schemas.openxmlformats.org/officeDocument/2006/relationships/hyperlink" Target="https://my.zakupivli.pro/remote/dispatcher/state_purchase_view/48394659" TargetMode="External"/>
  <ns0:Relationship Id="rId264" Type="http://schemas.openxmlformats.org/officeDocument/2006/relationships/hyperlink" Target="https://my.zakupivli.pro/remote/dispatcher/state_contracting_view/18920653" TargetMode="External"/>
  <ns0:Relationship Id="rId265" Type="http://schemas.openxmlformats.org/officeDocument/2006/relationships/hyperlink" Target="https://my.zakupivli.pro/remote/dispatcher/state_purchase_view/48484731" TargetMode="External"/>
  <ns0:Relationship Id="rId266" Type="http://schemas.openxmlformats.org/officeDocument/2006/relationships/hyperlink" Target="https://my.zakupivli.pro/remote/dispatcher/state_contracting_view/18957786" TargetMode="External"/>
  <ns0:Relationship Id="rId267" Type="http://schemas.openxmlformats.org/officeDocument/2006/relationships/hyperlink" Target="https://my.zakupivli.pro/remote/dispatcher/state_purchase_view/49232668" TargetMode="External"/>
  <ns0:Relationship Id="rId268" Type="http://schemas.openxmlformats.org/officeDocument/2006/relationships/hyperlink" Target="https://my.zakupivli.pro/remote/dispatcher/state_contracting_view/19278144" TargetMode="External"/>
  <ns0:Relationship Id="rId269" Type="http://schemas.openxmlformats.org/officeDocument/2006/relationships/hyperlink" Target="https://my.zakupivli.pro/remote/dispatcher/state_purchase_view/49347268" TargetMode="External"/>
  <ns0:Relationship Id="rId270" Type="http://schemas.openxmlformats.org/officeDocument/2006/relationships/hyperlink" Target="https://my.zakupivli.pro/remote/dispatcher/state_contracting_view/19327838" TargetMode="External"/>
  <ns0:Relationship Id="rId271" Type="http://schemas.openxmlformats.org/officeDocument/2006/relationships/hyperlink" Target="https://my.zakupivli.pro/remote/dispatcher/state_purchase_view/49520696" TargetMode="External"/>
  <ns0:Relationship Id="rId272" Type="http://schemas.openxmlformats.org/officeDocument/2006/relationships/hyperlink" Target="https://my.zakupivli.pro/remote/dispatcher/state_contracting_view/19402867" TargetMode="External"/>
  <ns0:Relationship Id="rId273" Type="http://schemas.openxmlformats.org/officeDocument/2006/relationships/hyperlink" Target="https://my.zakupivli.pro/remote/dispatcher/state_purchase_view/48925055" TargetMode="External"/>
  <ns0:Relationship Id="rId274" Type="http://schemas.openxmlformats.org/officeDocument/2006/relationships/hyperlink" Target="https://my.zakupivli.pro/remote/dispatcher/state_contracting_view/19146999" TargetMode="External"/>
  <ns0:Relationship Id="rId275" Type="http://schemas.openxmlformats.org/officeDocument/2006/relationships/hyperlink" Target="https://my.zakupivli.pro/remote/dispatcher/state_purchase_view/48647478" TargetMode="External"/>
  <ns0:Relationship Id="rId276" Type="http://schemas.openxmlformats.org/officeDocument/2006/relationships/hyperlink" Target="https://my.zakupivli.pro/remote/dispatcher/state_contracting_view/19027179" TargetMode="External"/>
  <ns0:Relationship Id="rId277" Type="http://schemas.openxmlformats.org/officeDocument/2006/relationships/hyperlink" Target="https://my.zakupivli.pro/remote/dispatcher/state_purchase_view/51590176" TargetMode="External"/>
  <ns0:Relationship Id="rId278" Type="http://schemas.openxmlformats.org/officeDocument/2006/relationships/hyperlink" Target="https://my.zakupivli.pro/remote/dispatcher/state_contracting_view/20712168" TargetMode="External"/>
  <ns0:Relationship Id="rId279" Type="http://schemas.openxmlformats.org/officeDocument/2006/relationships/hyperlink" Target="https://my.zakupivli.pro/remote/dispatcher/state_purchase_view/51570029" TargetMode="External"/>
  <ns0:Relationship Id="rId280" Type="http://schemas.openxmlformats.org/officeDocument/2006/relationships/hyperlink" Target="https://my.zakupivli.pro/remote/dispatcher/state_contracting_view/20703472" TargetMode="External"/>
  <ns0:Relationship Id="rId281" Type="http://schemas.openxmlformats.org/officeDocument/2006/relationships/hyperlink" Target="https://my.zakupivli.pro/remote/dispatcher/state_purchase_view/51895891" TargetMode="External"/>
  <ns0:Relationship Id="rId282" Type="http://schemas.openxmlformats.org/officeDocument/2006/relationships/hyperlink" Target="https://my.zakupivli.pro/remote/dispatcher/state_contracting_view/20845894" TargetMode="External"/>
  <ns0:Relationship Id="rId283" Type="http://schemas.openxmlformats.org/officeDocument/2006/relationships/hyperlink" Target="https://my.zakupivli.pro/remote/dispatcher/state_purchase_view/52225658" TargetMode="External"/>
  <ns0:Relationship Id="rId284" Type="http://schemas.openxmlformats.org/officeDocument/2006/relationships/hyperlink" Target="https://my.zakupivli.pro/remote/dispatcher/state_contracting_view/20990138" TargetMode="External"/>
  <ns0:Relationship Id="rId285" Type="http://schemas.openxmlformats.org/officeDocument/2006/relationships/hyperlink" Target="https://my.zakupivli.pro/remote/dispatcher/state_purchase_view/52226085" TargetMode="External"/>
  <ns0:Relationship Id="rId286" Type="http://schemas.openxmlformats.org/officeDocument/2006/relationships/hyperlink" Target="https://my.zakupivli.pro/remote/dispatcher/state_contracting_view/20990328" TargetMode="External"/>
  <ns0:Relationship Id="rId287" Type="http://schemas.openxmlformats.org/officeDocument/2006/relationships/hyperlink" Target="https://my.zakupivli.pro/remote/dispatcher/state_purchase_view/52226538" TargetMode="External"/>
  <ns0:Relationship Id="rId288" Type="http://schemas.openxmlformats.org/officeDocument/2006/relationships/hyperlink" Target="https://my.zakupivli.pro/remote/dispatcher/state_contracting_view/20990494" TargetMode="External"/>
  <ns0:Relationship Id="rId289" Type="http://schemas.openxmlformats.org/officeDocument/2006/relationships/hyperlink" Target="https://my.zakupivli.pro/remote/dispatcher/state_purchase_view/53328823" TargetMode="External"/>
  <ns0:Relationship Id="rId290" Type="http://schemas.openxmlformats.org/officeDocument/2006/relationships/hyperlink" Target="https://my.zakupivli.pro/remote/dispatcher/state_contracting_view/21465621" TargetMode="External"/>
  <ns0:Relationship Id="rId291" Type="http://schemas.openxmlformats.org/officeDocument/2006/relationships/hyperlink" Target="https://my.zakupivli.pro/remote/dispatcher/state_purchase_view/53283247" TargetMode="External"/>
  <ns0:Relationship Id="rId292" Type="http://schemas.openxmlformats.org/officeDocument/2006/relationships/hyperlink" Target="https://my.zakupivli.pro/remote/dispatcher/state_contracting_view/21446179" TargetMode="External"/>
  <ns0:Relationship Id="rId293" Type="http://schemas.openxmlformats.org/officeDocument/2006/relationships/hyperlink" Target="https://my.zakupivli.pro/remote/dispatcher/state_purchase_view/54809389" TargetMode="External"/>
  <ns0:Relationship Id="rId294" Type="http://schemas.openxmlformats.org/officeDocument/2006/relationships/hyperlink" Target="https://my.zakupivli.pro/remote/dispatcher/state_contracting_view/22101597" TargetMode="External"/>
  <ns0:Relationship Id="rId295" Type="http://schemas.openxmlformats.org/officeDocument/2006/relationships/hyperlink" Target="https://my.zakupivli.pro/remote/dispatcher/state_purchase_view/54810170" TargetMode="External"/>
  <ns0:Relationship Id="rId296" Type="http://schemas.openxmlformats.org/officeDocument/2006/relationships/hyperlink" Target="https://my.zakupivli.pro/remote/dispatcher/state_contracting_view/22101868" TargetMode="External"/>
  <ns0:Relationship Id="rId297" Type="http://schemas.openxmlformats.org/officeDocument/2006/relationships/hyperlink" Target="https://my.zakupivli.pro/remote/dispatcher/state_purchase_view/50512440" TargetMode="External"/>
  <ns0:Relationship Id="rId298" Type="http://schemas.openxmlformats.org/officeDocument/2006/relationships/hyperlink" Target="https://my.zakupivli.pro/remote/dispatcher/state_contracting_view/19833921" TargetMode="External"/>
  <ns0:Relationship Id="rId299" Type="http://schemas.openxmlformats.org/officeDocument/2006/relationships/hyperlink" Target="https://my.zakupivli.pro/remote/dispatcher/state_purchase_view/50819606" TargetMode="External"/>
  <ns0:Relationship Id="rId300" Type="http://schemas.openxmlformats.org/officeDocument/2006/relationships/hyperlink" Target="https://my.zakupivli.pro/remote/dispatcher/state_contracting_view/20221535" TargetMode="External"/>
  <ns0:Relationship Id="rId301" Type="http://schemas.openxmlformats.org/officeDocument/2006/relationships/hyperlink" Target="https://my.zakupivli.pro/remote/dispatcher/state_purchase_view/52974307" TargetMode="External"/>
  <ns0:Relationship Id="rId302" Type="http://schemas.openxmlformats.org/officeDocument/2006/relationships/hyperlink" Target="https://my.zakupivli.pro/remote/dispatcher/state_contracting_view/21314769" TargetMode="External"/>
  <ns0:Relationship Id="rId303" Type="http://schemas.openxmlformats.org/officeDocument/2006/relationships/hyperlink" Target="https://my.zakupivli.pro/remote/dispatcher/state_purchase_view/49334034" TargetMode="External"/>
  <ns0:Relationship Id="rId304" Type="http://schemas.openxmlformats.org/officeDocument/2006/relationships/hyperlink" Target="https://my.zakupivli.pro/remote/dispatcher/state_purchase_lot_view/1212408" TargetMode="External"/>
  <ns0:Relationship Id="rId305" Type="http://schemas.openxmlformats.org/officeDocument/2006/relationships/hyperlink" Target="https://my.zakupivli.pro/remote/dispatcher/state_contracting_view/19540584" TargetMode="External"/>
  <ns0:Relationship Id="rId306" Type="http://schemas.openxmlformats.org/officeDocument/2006/relationships/hyperlink" Target="https://my.zakupivli.pro/remote/dispatcher/state_purchase_view/48622096" TargetMode="External"/>
  <ns0:Relationship Id="rId307" Type="http://schemas.openxmlformats.org/officeDocument/2006/relationships/hyperlink" Target="https://my.zakupivli.pro/remote/dispatcher/state_purchase_lot_view/1186475" TargetMode="External"/>
  <ns0:Relationship Id="rId308" Type="http://schemas.openxmlformats.org/officeDocument/2006/relationships/hyperlink" Target="https://my.zakupivli.pro/remote/dispatcher/state_contracting_view/19304675" TargetMode="External"/>
  <ns0:Relationship Id="rId309" Type="http://schemas.openxmlformats.org/officeDocument/2006/relationships/hyperlink" Target="https://my.zakupivli.pro/remote/dispatcher/state_purchase_view/50337158" TargetMode="External"/>
  <ns0:Relationship Id="rId310" Type="http://schemas.openxmlformats.org/officeDocument/2006/relationships/hyperlink" Target="https://my.zakupivli.pro/remote/dispatcher/state_purchase_lot_view/1254749" TargetMode="External"/>
  <ns0:Relationship Id="rId311" Type="http://schemas.openxmlformats.org/officeDocument/2006/relationships/hyperlink" Target="https://my.zakupivli.pro/remote/dispatcher/state_contracting_view/19895006" TargetMode="External"/>
  <ns0:Relationship Id="rId312" Type="http://schemas.openxmlformats.org/officeDocument/2006/relationships/hyperlink" Target="https://my.zakupivli.pro/remote/dispatcher/state_purchase_view/52165531" TargetMode="External"/>
  <ns0:Relationship Id="rId313" Type="http://schemas.openxmlformats.org/officeDocument/2006/relationships/hyperlink" Target="https://my.zakupivli.pro/remote/dispatcher/state_purchase_lot_view/1336365" TargetMode="External"/>
  <ns0:Relationship Id="rId314" Type="http://schemas.openxmlformats.org/officeDocument/2006/relationships/hyperlink" Target="https://my.zakupivli.pro/remote/dispatcher/state_contracting_view/21033851" TargetMode="External"/>
  <ns0:Relationship Id="rId315" Type="http://schemas.openxmlformats.org/officeDocument/2006/relationships/hyperlink" Target="https://my.zakupivli.pro/remote/dispatcher/state_purchase_view/53844677" TargetMode="External"/>
  <ns0:Relationship Id="rId316" Type="http://schemas.openxmlformats.org/officeDocument/2006/relationships/hyperlink" Target="https://my.zakupivli.pro/remote/dispatcher/state_contracting_view/21685570" TargetMode="External"/>
  <ns0:Relationship Id="rId317" Type="http://schemas.openxmlformats.org/officeDocument/2006/relationships/hyperlink" Target="https://my.zakupivli.pro/remote/dispatcher/state_purchase_view/55289200" TargetMode="External"/>
  <ns0:Relationship Id="rId318" Type="http://schemas.openxmlformats.org/officeDocument/2006/relationships/hyperlink" Target="https://my.zakupivli.pro/remote/dispatcher/state_contracting_view/22308318" TargetMode="External"/>
  <ns0:Relationship Id="rId319" Type="http://schemas.openxmlformats.org/officeDocument/2006/relationships/hyperlink" Target="https://my.zakupivli.pro/remote/dispatcher/state_purchase_view/54855562" TargetMode="External"/>
  <ns0:Relationship Id="rId320" Type="http://schemas.openxmlformats.org/officeDocument/2006/relationships/hyperlink" Target="https://my.zakupivli.pro/remote/dispatcher/state_contracting_view/22121151" TargetMode="External"/>
  <ns0:Relationship Id="rId321" Type="http://schemas.openxmlformats.org/officeDocument/2006/relationships/hyperlink" Target="https://my.zakupivli.pro/remote/dispatcher/state_purchase_view/55707100" TargetMode="External"/>
  <ns0:Relationship Id="rId322" Type="http://schemas.openxmlformats.org/officeDocument/2006/relationships/hyperlink" Target="https://my.zakupivli.pro/remote/dispatcher/state_contracting_view/22487155" TargetMode="External"/>
  <ns0:Relationship Id="rId323" Type="http://schemas.openxmlformats.org/officeDocument/2006/relationships/hyperlink" Target="https://my.zakupivli.pro/remote/dispatcher/state_purchase_view/52008066" TargetMode="External"/>
  <ns0:Relationship Id="rId324" Type="http://schemas.openxmlformats.org/officeDocument/2006/relationships/hyperlink" Target="https://my.zakupivli.pro/remote/dispatcher/state_purchase_lot_view/1329432" TargetMode="External"/>
  <ns0:Relationship Id="rId325" Type="http://schemas.openxmlformats.org/officeDocument/2006/relationships/hyperlink" Target="https://my.zakupivli.pro/remote/dispatcher/state_contracting_view/20990664" TargetMode="External"/>
  <ns0:Relationship Id="rId326" Type="http://schemas.openxmlformats.org/officeDocument/2006/relationships/hyperlink" Target="https://my.zakupivli.pro/remote/dispatcher/state_purchase_view/54808314" TargetMode="External"/>
  <ns0:Relationship Id="rId327" Type="http://schemas.openxmlformats.org/officeDocument/2006/relationships/hyperlink" Target="https://my.zakupivli.pro/remote/dispatcher/state_contracting_view/22101119" TargetMode="External"/>
  <ns0:Relationship Id="rId328" Type="http://schemas.openxmlformats.org/officeDocument/2006/relationships/hyperlink" Target="https://my.zakupivli.pro/remote/dispatcher/state_purchase_view/55225437" TargetMode="External"/>
  <ns0:Relationship Id="rId329" Type="http://schemas.openxmlformats.org/officeDocument/2006/relationships/hyperlink" Target="https://my.zakupivli.pro/remote/dispatcher/state_contracting_view/22280690" TargetMode="External"/>
  <ns0:Relationship Id="rId330" Type="http://schemas.openxmlformats.org/officeDocument/2006/relationships/hyperlink" Target="https://my.zakupivli.pro/remote/dispatcher/state_purchase_view/53327760" TargetMode="External"/>
  <ns0:Relationship Id="rId331" Type="http://schemas.openxmlformats.org/officeDocument/2006/relationships/hyperlink" Target="https://my.zakupivli.pro/remote/dispatcher/state_contracting_view/21465073" TargetMode="External"/>
  <ns0:Relationship Id="rId332" Type="http://schemas.openxmlformats.org/officeDocument/2006/relationships/hyperlink" Target="https://my.zakupivli.pro/remote/dispatcher/state_purchase_view/55337318" TargetMode="External"/>
  <ns0:Relationship Id="rId333" Type="http://schemas.openxmlformats.org/officeDocument/2006/relationships/hyperlink" Target="https://my.zakupivli.pro/remote/dispatcher/state_contracting_view/22328256" TargetMode="External"/>
  <ns0:Relationship Id="rId334" Type="http://schemas.openxmlformats.org/officeDocument/2006/relationships/hyperlink" Target="https://my.zakupivli.pro/remote/dispatcher/state_purchase_view/53295499" TargetMode="External"/>
  <ns0:Relationship Id="rId335" Type="http://schemas.openxmlformats.org/officeDocument/2006/relationships/hyperlink" Target="https://my.zakupivli.pro/remote/dispatcher/state_purchase_lot_view/1389604" TargetMode="External"/>
  <ns0:Relationship Id="rId336" Type="http://schemas.openxmlformats.org/officeDocument/2006/relationships/hyperlink" Target="https://my.zakupivli.pro/remote/dispatcher/state_contracting_view/21586862" TargetMode="External"/>
  <ns0:Relationship Id="rId337" Type="http://schemas.openxmlformats.org/officeDocument/2006/relationships/hyperlink" Target="https://my.zakupivli.pro/remote/dispatcher/state_purchase_view/55081166" TargetMode="External"/>
  <ns0:Relationship Id="rId338" Type="http://schemas.openxmlformats.org/officeDocument/2006/relationships/hyperlink" Target="https://my.zakupivli.pro/remote/dispatcher/state_purchase_lot_view/1469905" TargetMode="External"/>
  <ns0:Relationship Id="rId339" Type="http://schemas.openxmlformats.org/officeDocument/2006/relationships/hyperlink" Target="https://my.zakupivli.pro/remote/dispatcher/state_contracting_view/22374052" TargetMode="External"/>
  <ns0:Relationship Id="rId340" Type="http://schemas.openxmlformats.org/officeDocument/2006/relationships/hyperlink" Target="https://my.zakupivli.pro/remote/dispatcher/state_purchase_view/51581539" TargetMode="External"/>
  <ns0:Relationship Id="rId341" Type="http://schemas.openxmlformats.org/officeDocument/2006/relationships/hyperlink" Target="https://my.zakupivli.pro/remote/dispatcher/state_purchase_lot_view/1309210" TargetMode="External"/>
  <ns0:Relationship Id="rId342" Type="http://schemas.openxmlformats.org/officeDocument/2006/relationships/hyperlink" Target="https://my.zakupivli.pro/remote/dispatcher/state_contracting_view/20794110" TargetMode="External"/>
  <ns0:Relationship Id="rId343" Type="http://schemas.openxmlformats.org/officeDocument/2006/relationships/hyperlink" Target="https://my.zakupivli.pro/remote/dispatcher/state_purchase_view/48390194" TargetMode="External"/>
  <ns0:Relationship Id="rId344" Type="http://schemas.openxmlformats.org/officeDocument/2006/relationships/hyperlink" Target="https://my.zakupivli.pro/remote/dispatcher/state_contracting_view/18918801" TargetMode="External"/>
  <ns0:Relationship Id="rId345" Type="http://schemas.openxmlformats.org/officeDocument/2006/relationships/hyperlink" Target="https://my.zakupivli.pro/remote/dispatcher/state_purchase_view/50124883" TargetMode="External"/>
  <ns0:Relationship Id="rId346" Type="http://schemas.openxmlformats.org/officeDocument/2006/relationships/hyperlink" Target="https://my.zakupivli.pro/remote/dispatcher/state_contracting_view/19662428" TargetMode="External"/>
  <ns0:Relationship Id="rId347" Type="http://schemas.openxmlformats.org/officeDocument/2006/relationships/hyperlink" Target="https://my.zakupivli.pro/remote/dispatcher/state_purchase_view/49904581" TargetMode="External"/>
  <ns0:Relationship Id="rId348" Type="http://schemas.openxmlformats.org/officeDocument/2006/relationships/hyperlink" Target="https://my.zakupivli.pro/remote/dispatcher/state_purchase_lot_view/1236468" TargetMode="External"/>
  <ns0:Relationship Id="rId349" Type="http://schemas.openxmlformats.org/officeDocument/2006/relationships/hyperlink" Target="https://my.zakupivli.pro/remote/dispatcher/state_contracting_view/19848660" TargetMode="External"/>
  <ns0:Relationship Id="rId350" Type="http://schemas.openxmlformats.org/officeDocument/2006/relationships/hyperlink" Target="https://my.zakupivli.pro/remote/dispatcher/state_purchase_view/48179877" TargetMode="External"/>
  <ns0:Relationship Id="rId351" Type="http://schemas.openxmlformats.org/officeDocument/2006/relationships/hyperlink" Target="https://my.zakupivli.pro/remote/dispatcher/state_contracting_view/18834869" TargetMode="External"/>
  <ns0:Relationship Id="rId352" Type="http://schemas.openxmlformats.org/officeDocument/2006/relationships/hyperlink" Target="https://my.zakupivli.pro/remote/dispatcher/state_purchase_view/48248191" TargetMode="External"/>
  <ns0:Relationship Id="rId353" Type="http://schemas.openxmlformats.org/officeDocument/2006/relationships/hyperlink" Target="https://my.zakupivli.pro/remote/dispatcher/state_contracting_view/18862958" TargetMode="External"/>
  <ns0:Relationship Id="rId354" Type="http://schemas.openxmlformats.org/officeDocument/2006/relationships/hyperlink" Target="https://my.zakupivli.pro/remote/dispatcher/state_purchase_view/48418546" TargetMode="External"/>
  <ns0:Relationship Id="rId355" Type="http://schemas.openxmlformats.org/officeDocument/2006/relationships/hyperlink" Target="https://my.zakupivli.pro/remote/dispatcher/state_contracting_view/18930349" TargetMode="External"/>
  <ns0:Relationship Id="rId356" Type="http://schemas.openxmlformats.org/officeDocument/2006/relationships/hyperlink" Target="https://my.zakupivli.pro/remote/dispatcher/state_purchase_view/48262776" TargetMode="External"/>
  <ns0:Relationship Id="rId357" Type="http://schemas.openxmlformats.org/officeDocument/2006/relationships/hyperlink" Target="https://my.zakupivli.pro/remote/dispatcher/state_contracting_view/18868431" TargetMode="External"/>
  <ns0:Relationship Id="rId358" Type="http://schemas.openxmlformats.org/officeDocument/2006/relationships/hyperlink" Target="https://my.zakupivli.pro/remote/dispatcher/state_purchase_view/50901066" TargetMode="External"/>
  <ns0:Relationship Id="rId359" Type="http://schemas.openxmlformats.org/officeDocument/2006/relationships/hyperlink" Target="https://my.zakupivli.pro/remote/dispatcher/state_contracting_view/20257148" TargetMode="External"/>
  <ns0:Relationship Id="rId360" Type="http://schemas.openxmlformats.org/officeDocument/2006/relationships/hyperlink" Target="https://my.zakupivli.pro/remote/dispatcher/state_purchase_view/49984831" TargetMode="External"/>
  <ns0:Relationship Id="rId361" Type="http://schemas.openxmlformats.org/officeDocument/2006/relationships/hyperlink" Target="https://my.zakupivli.pro/remote/dispatcher/state_contracting_view/19601443" TargetMode="External"/>
  <ns0:Relationship Id="rId362" Type="http://schemas.openxmlformats.org/officeDocument/2006/relationships/hyperlink" Target="https://my.zakupivli.pro/remote/dispatcher/state_purchase_view/50080145" TargetMode="External"/>
  <ns0:Relationship Id="rId363" Type="http://schemas.openxmlformats.org/officeDocument/2006/relationships/hyperlink" Target="https://my.zakupivli.pro/remote/dispatcher/state_contracting_view/19643615" TargetMode="External"/>
  <ns0:Relationship Id="rId364" Type="http://schemas.openxmlformats.org/officeDocument/2006/relationships/hyperlink" Target="https://my.zakupivli.pro/remote/dispatcher/state_purchase_view/51453169" TargetMode="External"/>
  <ns0:Relationship Id="rId365" Type="http://schemas.openxmlformats.org/officeDocument/2006/relationships/hyperlink" Target="https://my.zakupivli.pro/remote/dispatcher/state_contracting_view/20653049" TargetMode="External"/>
  <ns0:Relationship Id="rId366" Type="http://schemas.openxmlformats.org/officeDocument/2006/relationships/hyperlink" Target="https://my.zakupivli.pro/remote/dispatcher/state_purchase_view/51336701" TargetMode="External"/>
  <ns0:Relationship Id="rId367" Type="http://schemas.openxmlformats.org/officeDocument/2006/relationships/hyperlink" Target="https://my.zakupivli.pro/remote/dispatcher/state_contracting_view/20602706" TargetMode="External"/>
  <ns0:Relationship Id="rId368" Type="http://schemas.openxmlformats.org/officeDocument/2006/relationships/hyperlink" Target="https://my.zakupivli.pro/remote/dispatcher/state_purchase_view/51582053" TargetMode="External"/>
  <ns0:Relationship Id="rId369" Type="http://schemas.openxmlformats.org/officeDocument/2006/relationships/hyperlink" Target="https://my.zakupivli.pro/remote/dispatcher/state_contracting_view/20708797" TargetMode="External"/>
  <ns0:Relationship Id="rId370" Type="http://schemas.openxmlformats.org/officeDocument/2006/relationships/hyperlink" Target="https://my.zakupivli.pro/remote/dispatcher/state_purchase_view/51573976" TargetMode="External"/>
  <ns0:Relationship Id="rId371" Type="http://schemas.openxmlformats.org/officeDocument/2006/relationships/hyperlink" Target="https://my.zakupivli.pro/remote/dispatcher/state_contracting_view/20705257" TargetMode="External"/>
  <ns0:Relationship Id="rId372" Type="http://schemas.openxmlformats.org/officeDocument/2006/relationships/hyperlink" Target="https://my.zakupivli.pro/remote/dispatcher/state_purchase_view/51633587" TargetMode="External"/>
  <ns0:Relationship Id="rId373" Type="http://schemas.openxmlformats.org/officeDocument/2006/relationships/hyperlink" Target="https://my.zakupivli.pro/remote/dispatcher/state_contracting_view/20731178" TargetMode="External"/>
  <ns0:Relationship Id="rId374" Type="http://schemas.openxmlformats.org/officeDocument/2006/relationships/hyperlink" Target="https://my.zakupivli.pro/remote/dispatcher/state_purchase_view/51709417" TargetMode="External"/>
  <ns0:Relationship Id="rId375" Type="http://schemas.openxmlformats.org/officeDocument/2006/relationships/hyperlink" Target="https://my.zakupivli.pro/remote/dispatcher/state_contracting_view/20764065" TargetMode="External"/>
  <ns0:Relationship Id="rId376" Type="http://schemas.openxmlformats.org/officeDocument/2006/relationships/hyperlink" Target="https://my.zakupivli.pro/remote/dispatcher/state_purchase_view/51710256" TargetMode="External"/>
  <ns0:Relationship Id="rId377" Type="http://schemas.openxmlformats.org/officeDocument/2006/relationships/hyperlink" Target="https://my.zakupivli.pro/remote/dispatcher/state_contracting_view/20764455" TargetMode="External"/>
  <ns0:Relationship Id="rId378" Type="http://schemas.openxmlformats.org/officeDocument/2006/relationships/hyperlink" Target="https://my.zakupivli.pro/remote/dispatcher/state_purchase_view/51545852" TargetMode="External"/>
  <ns0:Relationship Id="rId379" Type="http://schemas.openxmlformats.org/officeDocument/2006/relationships/hyperlink" Target="https://my.zakupivli.pro/remote/dispatcher/state_contracting_view/20693148" TargetMode="External"/>
  <ns0:Relationship Id="rId380" Type="http://schemas.openxmlformats.org/officeDocument/2006/relationships/hyperlink" Target="https://my.zakupivli.pro/remote/dispatcher/state_purchase_view/48834905" TargetMode="External"/>
  <ns0:Relationship Id="rId381" Type="http://schemas.openxmlformats.org/officeDocument/2006/relationships/hyperlink" Target="https://my.zakupivli.pro/remote/dispatcher/state_contracting_view/19107957" TargetMode="External"/>
  <ns0:Relationship Id="rId382" Type="http://schemas.openxmlformats.org/officeDocument/2006/relationships/hyperlink" Target="https://my.zakupivli.pro/remote/dispatcher/state_purchase_view/48846647" TargetMode="External"/>
  <ns0:Relationship Id="rId383" Type="http://schemas.openxmlformats.org/officeDocument/2006/relationships/hyperlink" Target="https://my.zakupivli.pro/remote/dispatcher/state_contracting_view/19113039" TargetMode="External"/>
  <ns0:Relationship Id="rId384" Type="http://schemas.openxmlformats.org/officeDocument/2006/relationships/hyperlink" Target="https://my.zakupivli.pro/remote/dispatcher/state_purchase_view/49225760" TargetMode="External"/>
  <ns0:Relationship Id="rId385" Type="http://schemas.openxmlformats.org/officeDocument/2006/relationships/hyperlink" Target="https://my.zakupivli.pro/remote/dispatcher/state_contracting_view/19275425" TargetMode="External"/>
  <ns0:Relationship Id="rId386" Type="http://schemas.openxmlformats.org/officeDocument/2006/relationships/hyperlink" Target="https://my.zakupivli.pro/remote/dispatcher/state_purchase_view/49230410" TargetMode="External"/>
  <ns0:Relationship Id="rId387" Type="http://schemas.openxmlformats.org/officeDocument/2006/relationships/hyperlink" Target="https://my.zakupivli.pro/remote/dispatcher/state_contracting_view/19277466" TargetMode="External"/>
  <ns0:Relationship Id="rId388" Type="http://schemas.openxmlformats.org/officeDocument/2006/relationships/hyperlink" Target="https://my.zakupivli.pro/remote/dispatcher/state_purchase_view/49231087" TargetMode="External"/>
  <ns0:Relationship Id="rId389" Type="http://schemas.openxmlformats.org/officeDocument/2006/relationships/hyperlink" Target="https://my.zakupivli.pro/remote/dispatcher/state_contracting_view/19277619" TargetMode="External"/>
  <ns0:Relationship Id="rId390" Type="http://schemas.openxmlformats.org/officeDocument/2006/relationships/hyperlink" Target="https://my.zakupivli.pro/remote/dispatcher/state_purchase_view/49229099" TargetMode="External"/>
  <ns0:Relationship Id="rId391" Type="http://schemas.openxmlformats.org/officeDocument/2006/relationships/hyperlink" Target="https://my.zakupivli.pro/remote/dispatcher/state_contracting_view/19276871" TargetMode="External"/>
  <ns0:Relationship Id="rId392" Type="http://schemas.openxmlformats.org/officeDocument/2006/relationships/hyperlink" Target="https://my.zakupivli.pro/remote/dispatcher/state_purchase_view/49229215" TargetMode="External"/>
  <ns0:Relationship Id="rId393" Type="http://schemas.openxmlformats.org/officeDocument/2006/relationships/hyperlink" Target="https://my.zakupivli.pro/remote/dispatcher/state_contracting_view/19277175" TargetMode="External"/>
  <ns0:Relationship Id="rId394" Type="http://schemas.openxmlformats.org/officeDocument/2006/relationships/hyperlink" Target="https://my.zakupivli.pro/remote/dispatcher/state_purchase_view/49578459" TargetMode="External"/>
  <ns0:Relationship Id="rId395" Type="http://schemas.openxmlformats.org/officeDocument/2006/relationships/hyperlink" Target="https://my.zakupivli.pro/remote/dispatcher/state_contracting_view/19426977" TargetMode="External"/>
  <ns0:Relationship Id="rId396" Type="http://schemas.openxmlformats.org/officeDocument/2006/relationships/hyperlink" Target="https://my.zakupivli.pro/remote/dispatcher/state_purchase_view/49301206" TargetMode="External"/>
  <ns0:Relationship Id="rId397" Type="http://schemas.openxmlformats.org/officeDocument/2006/relationships/hyperlink" Target="https://my.zakupivli.pro/remote/dispatcher/state_contracting_view/19307900" TargetMode="External"/>
  <ns0:Relationship Id="rId398" Type="http://schemas.openxmlformats.org/officeDocument/2006/relationships/hyperlink" Target="https://my.zakupivli.pro/remote/dispatcher/state_purchase_view/51996977" TargetMode="External"/>
  <ns0:Relationship Id="rId399" Type="http://schemas.openxmlformats.org/officeDocument/2006/relationships/hyperlink" Target="https://my.zakupivli.pro/remote/dispatcher/state_contracting_view/20889755" TargetMode="External"/>
  <ns0:Relationship Id="rId400" Type="http://schemas.openxmlformats.org/officeDocument/2006/relationships/hyperlink" Target="https://my.zakupivli.pro/remote/dispatcher/state_purchase_view/48989350" TargetMode="External"/>
  <ns0:Relationship Id="rId401" Type="http://schemas.openxmlformats.org/officeDocument/2006/relationships/hyperlink" Target="https://my.zakupivli.pro/remote/dispatcher/state_contracting_view/19174191" TargetMode="External"/>
  <ns0:Relationship Id="rId402" Type="http://schemas.openxmlformats.org/officeDocument/2006/relationships/hyperlink" Target="https://my.zakupivli.pro/remote/dispatcher/state_purchase_view/49063617" TargetMode="External"/>
  <ns0:Relationship Id="rId403" Type="http://schemas.openxmlformats.org/officeDocument/2006/relationships/hyperlink" Target="https://my.zakupivli.pro/remote/dispatcher/state_contracting_view/19205614" TargetMode="External"/>
  <ns0:Relationship Id="rId404" Type="http://schemas.openxmlformats.org/officeDocument/2006/relationships/hyperlink" Target="https://my.zakupivli.pro/remote/dispatcher/state_purchase_view/52691701" TargetMode="External"/>
  <ns0:Relationship Id="rId405" Type="http://schemas.openxmlformats.org/officeDocument/2006/relationships/hyperlink" Target="https://my.zakupivli.pro/remote/dispatcher/state_contracting_view/21191587" TargetMode="External"/>
  <ns0:Relationship Id="rId406" Type="http://schemas.openxmlformats.org/officeDocument/2006/relationships/hyperlink" Target="https://my.zakupivli.pro/remote/dispatcher/state_purchase_view/52064455" TargetMode="External"/>
  <ns0:Relationship Id="rId407" Type="http://schemas.openxmlformats.org/officeDocument/2006/relationships/hyperlink" Target="https://my.zakupivli.pro/remote/dispatcher/state_contracting_view/20919293" TargetMode="External"/>
  <ns0:Relationship Id="rId408" Type="http://schemas.openxmlformats.org/officeDocument/2006/relationships/hyperlink" Target="https://my.zakupivli.pro/remote/dispatcher/state_purchase_view/53862829" TargetMode="External"/>
  <ns0:Relationship Id="rId409" Type="http://schemas.openxmlformats.org/officeDocument/2006/relationships/hyperlink" Target="https://my.zakupivli.pro/remote/dispatcher/state_contracting_view/21693269" TargetMode="External"/>
  <ns0:Relationship Id="rId410" Type="http://schemas.openxmlformats.org/officeDocument/2006/relationships/hyperlink" Target="https://my.zakupivli.pro/remote/dispatcher/state_purchase_view/55912714" TargetMode="External"/>
  <ns0:Relationship Id="rId411" Type="http://schemas.openxmlformats.org/officeDocument/2006/relationships/hyperlink" Target="https://my.zakupivli.pro/remote/dispatcher/state_contracting_view/22577008" TargetMode="External"/>
  <ns0:Relationship Id="rId412" Type="http://schemas.openxmlformats.org/officeDocument/2006/relationships/hyperlink" Target="https://my.zakupivli.pro/remote/dispatcher/state_purchase_view/55268793" TargetMode="External"/>
  <ns0:Relationship Id="rId413" Type="http://schemas.openxmlformats.org/officeDocument/2006/relationships/hyperlink" Target="https://my.zakupivli.pro/remote/dispatcher/state_purchase_lot_view/1477719" TargetMode="External"/>
  <ns0:Relationship Id="rId414" Type="http://schemas.openxmlformats.org/officeDocument/2006/relationships/hyperlink" Target="https://my.zakupivli.pro/remote/dispatcher/state_contracting_view/22495189" TargetMode="External"/>
  <ns0:Relationship Id="rId415" Type="http://schemas.openxmlformats.org/officeDocument/2006/relationships/hyperlink" Target="https://my.zakupivli.pro/remote/dispatcher/state_purchase_view/55486359" TargetMode="External"/>
  <ns0:Relationship Id="rId416" Type="http://schemas.openxmlformats.org/officeDocument/2006/relationships/hyperlink" Target="https://my.zakupivli.pro/remote/dispatcher/state_purchase_lot_view/1486780" TargetMode="External"/>
  <ns0:Relationship Id="rId417" Type="http://schemas.openxmlformats.org/officeDocument/2006/relationships/hyperlink" Target="https://my.zakupivli.pro/remote/dispatcher/state_contracting_view/22549939" TargetMode="External"/>
  <ns0:Relationship Id="rId418" Type="http://schemas.openxmlformats.org/officeDocument/2006/relationships/hyperlink" Target="https://my.zakupivli.pro/remote/dispatcher/state_purchase_view/52691280" TargetMode="External"/>
  <ns0:Relationship Id="rId419" Type="http://schemas.openxmlformats.org/officeDocument/2006/relationships/hyperlink" Target="https://my.zakupivli.pro/remote/dispatcher/state_contracting_view/21191383" TargetMode="External"/>
  <ns0:Relationship Id="rId420" Type="http://schemas.openxmlformats.org/officeDocument/2006/relationships/hyperlink" Target="https://my.zakupivli.pro/remote/dispatcher/state_purchase_view/49886169" TargetMode="External"/>
  <ns0:Relationship Id="rId421" Type="http://schemas.openxmlformats.org/officeDocument/2006/relationships/hyperlink" Target="https://my.zakupivli.pro/remote/dispatcher/state_purchase_lot_view/1235685" TargetMode="External"/>
  <ns0:Relationship Id="rId422" Type="http://schemas.openxmlformats.org/officeDocument/2006/relationships/hyperlink" Target="https://my.zakupivli.pro/remote/dispatcher/state_contracting_view/19720802" TargetMode="External"/>
  <ns0:Relationship Id="rId423" Type="http://schemas.openxmlformats.org/officeDocument/2006/relationships/hyperlink" Target="https://my.zakupivli.pro/remote/dispatcher/state_purchase_view/48448797" TargetMode="External"/>
  <ns0:Relationship Id="rId424" Type="http://schemas.openxmlformats.org/officeDocument/2006/relationships/hyperlink" Target="https://my.zakupivli.pro/remote/dispatcher/state_contracting_view/18942859" TargetMode="External"/>
  <ns0:Relationship Id="rId425" Type="http://schemas.openxmlformats.org/officeDocument/2006/relationships/hyperlink" Target="https://my.zakupivli.pro/remote/dispatcher/state_purchase_view/48643804" TargetMode="External"/>
  <ns0:Relationship Id="rId426" Type="http://schemas.openxmlformats.org/officeDocument/2006/relationships/hyperlink" Target="https://my.zakupivli.pro/remote/dispatcher/state_purchase_lot_view/1187014" TargetMode="External"/>
  <ns0:Relationship Id="rId427" Type="http://schemas.openxmlformats.org/officeDocument/2006/relationships/hyperlink" Target="https://my.zakupivli.pro/remote/dispatcher/state_contracting_view/19307548" TargetMode="External"/>
  <ns0:Relationship Id="rId428" Type="http://schemas.openxmlformats.org/officeDocument/2006/relationships/hyperlink" Target="https://my.zakupivli.pro/remote/dispatcher/state_purchase_view/53404027" TargetMode="External"/>
  <ns0:Relationship Id="rId429" Type="http://schemas.openxmlformats.org/officeDocument/2006/relationships/hyperlink" Target="https://my.zakupivli.pro/remote/dispatcher/state_purchase_lot_view/1394753" TargetMode="External"/>
  <ns0:Relationship Id="rId430" Type="http://schemas.openxmlformats.org/officeDocument/2006/relationships/hyperlink" Target="https://my.zakupivli.pro/remote/dispatcher/state_contracting_view/21615614" TargetMode="External"/>
  <ns0:Relationship Id="rId431" Type="http://schemas.openxmlformats.org/officeDocument/2006/relationships/hyperlink" Target="https://my.zakupivli.pro/remote/dispatcher/state_purchase_view/48698384" TargetMode="External"/>
  <ns0:Relationship Id="rId432" Type="http://schemas.openxmlformats.org/officeDocument/2006/relationships/hyperlink" Target="https://my.zakupivli.pro/remote/dispatcher/state_contracting_view/19048854" TargetMode="External"/>
  <ns0:Relationship Id="rId433" Type="http://schemas.openxmlformats.org/officeDocument/2006/relationships/hyperlink" Target="https://my.zakupivli.pro/remote/dispatcher/state_purchase_view/50900229" TargetMode="External"/>
  <ns0:Relationship Id="rId434" Type="http://schemas.openxmlformats.org/officeDocument/2006/relationships/hyperlink" Target="https://my.zakupivli.pro/remote/dispatcher/state_contracting_view/20256803" TargetMode="External"/>
  <ns0:Relationship Id="rId435" Type="http://schemas.openxmlformats.org/officeDocument/2006/relationships/hyperlink" Target="https://my.zakupivli.pro/remote/dispatcher/state_purchase_view/48832818" TargetMode="External"/>
  <ns0:Relationship Id="rId436" Type="http://schemas.openxmlformats.org/officeDocument/2006/relationships/hyperlink" Target="https://my.zakupivli.pro/remote/dispatcher/state_contracting_view/19107011" TargetMode="External"/>
  <ns0:Relationship Id="rId437" Type="http://schemas.openxmlformats.org/officeDocument/2006/relationships/hyperlink" Target="https://my.zakupivli.pro/remote/dispatcher/state_purchase_view/48992623" TargetMode="External"/>
  <ns0:Relationship Id="rId438" Type="http://schemas.openxmlformats.org/officeDocument/2006/relationships/hyperlink" Target="https://my.zakupivli.pro/remote/dispatcher/state_contracting_view/19175528" TargetMode="External"/>
  <ns0:Relationship Id="rId439" Type="http://schemas.openxmlformats.org/officeDocument/2006/relationships/hyperlink" Target="https://my.zakupivli.pro/remote/dispatcher/state_purchase_view/48737404" TargetMode="External"/>
  <ns0:Relationship Id="rId440" Type="http://schemas.openxmlformats.org/officeDocument/2006/relationships/hyperlink" Target="https://my.zakupivli.pro/remote/dispatcher/state_contracting_view/19065852" TargetMode="External"/>
  <ns0:Relationship Id="rId441" Type="http://schemas.openxmlformats.org/officeDocument/2006/relationships/hyperlink" Target="https://my.zakupivli.pro/remote/dispatcher/state_purchase_view/48931648" TargetMode="External"/>
  <ns0:Relationship Id="rId442" Type="http://schemas.openxmlformats.org/officeDocument/2006/relationships/hyperlink" Target="https://my.zakupivli.pro/remote/dispatcher/state_contracting_view/19149658" TargetMode="External"/>
  <ns0:Relationship Id="rId443" Type="http://schemas.openxmlformats.org/officeDocument/2006/relationships/hyperlink" Target="https://my.zakupivli.pro/remote/dispatcher/state_purchase_view/49269328" TargetMode="External"/>
  <ns0:Relationship Id="rId444" Type="http://schemas.openxmlformats.org/officeDocument/2006/relationships/hyperlink" Target="https://my.zakupivli.pro/remote/dispatcher/state_contracting_view/19294715" TargetMode="External"/>
  <ns0:Relationship Id="rId445" Type="http://schemas.openxmlformats.org/officeDocument/2006/relationships/hyperlink" Target="https://my.zakupivli.pro/remote/dispatcher/state_purchase_view/49426726" TargetMode="External"/>
  <ns0:Relationship Id="rId446" Type="http://schemas.openxmlformats.org/officeDocument/2006/relationships/hyperlink" Target="https://my.zakupivli.pro/remote/dispatcher/state_contracting_view/19361496" TargetMode="External"/>
  <ns0:Relationship Id="rId447" Type="http://schemas.openxmlformats.org/officeDocument/2006/relationships/hyperlink" Target="https://my.zakupivli.pro/remote/dispatcher/state_purchase_view/49315353" TargetMode="External"/>
  <ns0:Relationship Id="rId448" Type="http://schemas.openxmlformats.org/officeDocument/2006/relationships/hyperlink" Target="https://my.zakupivli.pro/remote/dispatcher/state_contracting_view/19314193" TargetMode="External"/>
  <ns0:Relationship Id="rId449" Type="http://schemas.openxmlformats.org/officeDocument/2006/relationships/hyperlink" Target="https://my.zakupivli.pro/remote/dispatcher/state_purchase_view/49348027" TargetMode="External"/>
  <ns0:Relationship Id="rId450" Type="http://schemas.openxmlformats.org/officeDocument/2006/relationships/hyperlink" Target="https://my.zakupivli.pro/remote/dispatcher/state_contracting_view/19328092" TargetMode="External"/>
  <ns0:Relationship Id="rId451" Type="http://schemas.openxmlformats.org/officeDocument/2006/relationships/hyperlink" Target="https://my.zakupivli.pro/remote/dispatcher/state_purchase_view/49645691" TargetMode="External"/>
  <ns0:Relationship Id="rId452" Type="http://schemas.openxmlformats.org/officeDocument/2006/relationships/hyperlink" Target="https://my.zakupivli.pro/remote/dispatcher/state_contracting_view/19455951" TargetMode="External"/>
  <ns0:Relationship Id="rId453" Type="http://schemas.openxmlformats.org/officeDocument/2006/relationships/hyperlink" Target="https://my.zakupivli.pro/remote/dispatcher/state_purchase_view/49859348" TargetMode="External"/>
  <ns0:Relationship Id="rId454" Type="http://schemas.openxmlformats.org/officeDocument/2006/relationships/hyperlink" Target="https://my.zakupivli.pro/remote/dispatcher/state_contracting_view/19547801" TargetMode="External"/>
  <ns0:Relationship Id="rId455" Type="http://schemas.openxmlformats.org/officeDocument/2006/relationships/hyperlink" Target="https://my.zakupivli.pro/remote/dispatcher/state_purchase_view/49908909" TargetMode="External"/>
  <ns0:Relationship Id="rId456" Type="http://schemas.openxmlformats.org/officeDocument/2006/relationships/hyperlink" Target="https://my.zakupivli.pro/remote/dispatcher/state_contracting_view/19569181" TargetMode="External"/>
  <ns0:Relationship Id="rId457" Type="http://schemas.openxmlformats.org/officeDocument/2006/relationships/hyperlink" Target="https://my.zakupivli.pro/remote/dispatcher/state_purchase_view/50392754" TargetMode="External"/>
  <ns0:Relationship Id="rId458" Type="http://schemas.openxmlformats.org/officeDocument/2006/relationships/hyperlink" Target="https://my.zakupivli.pro/remote/dispatcher/state_contracting_view/19780405" TargetMode="External"/>
  <ns0:Relationship Id="rId459" Type="http://schemas.openxmlformats.org/officeDocument/2006/relationships/hyperlink" Target="https://my.zakupivli.pro/remote/dispatcher/state_purchase_view/51021425" TargetMode="External"/>
  <ns0:Relationship Id="rId460" Type="http://schemas.openxmlformats.org/officeDocument/2006/relationships/hyperlink" Target="https://my.zakupivli.pro/remote/dispatcher/state_contracting_view/20308723" TargetMode="External"/>
  <ns0:Relationship Id="rId461" Type="http://schemas.openxmlformats.org/officeDocument/2006/relationships/hyperlink" Target="https://my.zakupivli.pro/remote/dispatcher/state_purchase_view/51537979" TargetMode="External"/>
  <ns0:Relationship Id="rId462" Type="http://schemas.openxmlformats.org/officeDocument/2006/relationships/hyperlink" Target="https://my.zakupivli.pro/remote/dispatcher/state_contracting_view/20689708" TargetMode="External"/>
  <ns0:Relationship Id="rId463" Type="http://schemas.openxmlformats.org/officeDocument/2006/relationships/hyperlink" Target="https://my.zakupivli.pro/remote/dispatcher/state_purchase_view/48259712" TargetMode="External"/>
  <ns0:Relationship Id="rId464" Type="http://schemas.openxmlformats.org/officeDocument/2006/relationships/hyperlink" Target="https://my.zakupivli.pro/remote/dispatcher/state_contracting_view/18867220" TargetMode="External"/>
  <ns0:Relationship Id="rId465" Type="http://schemas.openxmlformats.org/officeDocument/2006/relationships/hyperlink" Target="https://my.zakupivli.pro/remote/dispatcher/state_purchase_view/48319420" TargetMode="External"/>
  <ns0:Relationship Id="rId466" Type="http://schemas.openxmlformats.org/officeDocument/2006/relationships/hyperlink" Target="https://my.zakupivli.pro/remote/dispatcher/state_contracting_view/18890499" TargetMode="External"/>
  <ns0:Relationship Id="rId467" Type="http://schemas.openxmlformats.org/officeDocument/2006/relationships/hyperlink" Target="https://my.zakupivli.pro/remote/dispatcher/state_purchase_view/48323025" TargetMode="External"/>
  <ns0:Relationship Id="rId468" Type="http://schemas.openxmlformats.org/officeDocument/2006/relationships/hyperlink" Target="https://my.zakupivli.pro/remote/dispatcher/state_contracting_view/18891840" TargetMode="External"/>
  <ns0:Relationship Id="rId469" Type="http://schemas.openxmlformats.org/officeDocument/2006/relationships/hyperlink" Target="https://my.zakupivli.pro/remote/dispatcher/state_purchase_view/49934798" TargetMode="External"/>
  <ns0:Relationship Id="rId470" Type="http://schemas.openxmlformats.org/officeDocument/2006/relationships/hyperlink" Target="https://my.zakupivli.pro/remote/dispatcher/state_contracting_view/19579795" TargetMode="External"/>
  <ns0:Relationship Id="rId471" Type="http://schemas.openxmlformats.org/officeDocument/2006/relationships/hyperlink" Target="https://my.zakupivli.pro/remote/dispatcher/state_purchase_view/48989888" TargetMode="External"/>
  <ns0:Relationship Id="rId472" Type="http://schemas.openxmlformats.org/officeDocument/2006/relationships/hyperlink" Target="https://my.zakupivli.pro/remote/dispatcher/state_contracting_view/19174550" TargetMode="External"/>
  <ns0:Relationship Id="rId473" Type="http://schemas.openxmlformats.org/officeDocument/2006/relationships/hyperlink" Target="https://my.zakupivli.pro/remote/dispatcher/state_purchase_view/54809055" TargetMode="External"/>
  <ns0:Relationship Id="rId474" Type="http://schemas.openxmlformats.org/officeDocument/2006/relationships/hyperlink" Target="https://my.zakupivli.pro/remote/dispatcher/state_contracting_view/22101377" TargetMode="External"/>
  <ns0:Relationship Id="rId475" Type="http://schemas.openxmlformats.org/officeDocument/2006/relationships/hyperlink" Target="https://my.zakupivli.pro/remote/dispatcher/state_purchase_view/53627787" TargetMode="External"/>
  <ns0:Relationship Id="rId476" Type="http://schemas.openxmlformats.org/officeDocument/2006/relationships/hyperlink" Target="https://my.zakupivli.pro/remote/dispatcher/state_contracting_view/21592614" TargetMode="External"/>
  <ns0:Relationship Id="rId477" Type="http://schemas.openxmlformats.org/officeDocument/2006/relationships/hyperlink" Target="https://my.zakupivli.pro/remote/dispatcher/state_purchase_view/53607193" TargetMode="External"/>
  <ns0:Relationship Id="rId478" Type="http://schemas.openxmlformats.org/officeDocument/2006/relationships/hyperlink" Target="https://my.zakupivli.pro/remote/dispatcher/state_contracting_view/21583607" TargetMode="External"/>
  <ns0:Relationship Id="rId479" Type="http://schemas.openxmlformats.org/officeDocument/2006/relationships/hyperlink" Target="https://my.zakupivli.pro/remote/dispatcher/state_purchase_view/53460062" TargetMode="External"/>
  <ns0:Relationship Id="rId480" Type="http://schemas.openxmlformats.org/officeDocument/2006/relationships/hyperlink" Target="https://my.zakupivli.pro/remote/dispatcher/state_contracting_view/21520687" TargetMode="External"/>
  <ns0:Relationship Id="rId481" Type="http://schemas.openxmlformats.org/officeDocument/2006/relationships/hyperlink" Target="https://my.zakupivli.pro/remote/dispatcher/state_purchase_view/51051178" TargetMode="External"/>
  <ns0:Relationship Id="rId482" Type="http://schemas.openxmlformats.org/officeDocument/2006/relationships/hyperlink" Target="https://my.zakupivli.pro/remote/dispatcher/state_contracting_view/20321438" TargetMode="External"/>
  <ns0:Relationship Id="rId483" Type="http://schemas.openxmlformats.org/officeDocument/2006/relationships/hyperlink" Target="https://my.zakupivli.pro/remote/dispatcher/state_purchase_view/51577453" TargetMode="External"/>
  <ns0:Relationship Id="rId484" Type="http://schemas.openxmlformats.org/officeDocument/2006/relationships/hyperlink" Target="https://my.zakupivli.pro/remote/dispatcher/state_contracting_view/20706852" TargetMode="External"/>
  <ns0:Relationship Id="rId485" Type="http://schemas.openxmlformats.org/officeDocument/2006/relationships/hyperlink" Target="https://my.zakupivli.pro/remote/dispatcher/state_purchase_view/52862400" TargetMode="External"/>
  <ns0:Relationship Id="rId486" Type="http://schemas.openxmlformats.org/officeDocument/2006/relationships/hyperlink" Target="https://my.zakupivli.pro/remote/dispatcher/state_contracting_view/21266000" TargetMode="External"/>
  <ns0:Relationship Id="rId487" Type="http://schemas.openxmlformats.org/officeDocument/2006/relationships/hyperlink" Target="https://my.zakupivli.pro/remote/dispatcher/state_purchase_view/52365354" TargetMode="External"/>
  <ns0:Relationship Id="rId488" Type="http://schemas.openxmlformats.org/officeDocument/2006/relationships/hyperlink" Target="https://my.zakupivli.pro/remote/dispatcher/state_contracting_view/21050845" TargetMode="External"/>
  <ns0:Relationship Id="rId489" Type="http://schemas.openxmlformats.org/officeDocument/2006/relationships/hyperlink" Target="https://my.zakupivli.pro/remote/dispatcher/state_purchase_view/54215320" TargetMode="External"/>
  <ns0:Relationship Id="rId490" Type="http://schemas.openxmlformats.org/officeDocument/2006/relationships/hyperlink" Target="https://my.zakupivli.pro/remote/dispatcher/state_contracting_view/21845422" TargetMode="External"/>
  <ns0:Relationship Id="rId491" Type="http://schemas.openxmlformats.org/officeDocument/2006/relationships/hyperlink" Target="https://my.zakupivli.pro/remote/dispatcher/state_purchase_view/52890380" TargetMode="External"/>
  <ns0:Relationship Id="rId492" Type="http://schemas.openxmlformats.org/officeDocument/2006/relationships/hyperlink" Target="https://my.zakupivli.pro/remote/dispatcher/state_contracting_view/21278132" TargetMode="External"/>
  <ns0:Relationship Id="rId493" Type="http://schemas.openxmlformats.org/officeDocument/2006/relationships/hyperlink" Target="https://my.zakupivli.pro/remote/dispatcher/state_purchase_view/54085746" TargetMode="External"/>
  <ns0:Relationship Id="rId494" Type="http://schemas.openxmlformats.org/officeDocument/2006/relationships/hyperlink" Target="https://my.zakupivli.pro/remote/dispatcher/state_contracting_view/21789741" TargetMode="External"/>
  <ns0:Relationship Id="rId495" Type="http://schemas.openxmlformats.org/officeDocument/2006/relationships/hyperlink" Target="https://my.zakupivli.pro/remote/dispatcher/state_purchase_view/52340520" TargetMode="External"/>
  <ns0:Relationship Id="rId496" Type="http://schemas.openxmlformats.org/officeDocument/2006/relationships/hyperlink" Target="https://my.zakupivli.pro/remote/dispatcher/state_purchase_lot_view/1345179" TargetMode="External"/>
  <ns0:Relationship Id="rId497" Type="http://schemas.openxmlformats.org/officeDocument/2006/relationships/hyperlink" Target="https://my.zakupivli.pro/remote/dispatcher/state_contracting_view/21172259" TargetMode="External"/>
  <ns0:Relationship Id="rId498" Type="http://schemas.openxmlformats.org/officeDocument/2006/relationships/hyperlink" Target="https://my.zakupivli.pro/remote/dispatcher/state_purchase_view/53296775" TargetMode="External"/>
  <ns0:Relationship Id="rId499" Type="http://schemas.openxmlformats.org/officeDocument/2006/relationships/hyperlink" Target="https://my.zakupivli.pro/remote/dispatcher/state_purchase_lot_view/1389648" TargetMode="External"/>
  <ns0:Relationship Id="rId500" Type="http://schemas.openxmlformats.org/officeDocument/2006/relationships/hyperlink" Target="https://my.zakupivli.pro/remote/dispatcher/state_contracting_view/21617982" TargetMode="External"/>
  <ns0:Relationship Id="rId501" Type="http://schemas.openxmlformats.org/officeDocument/2006/relationships/hyperlink" Target="https://my.zakupivli.pro/remote/dispatcher/state_purchase_view/54955817" TargetMode="External"/>
  <ns0:Relationship Id="rId502" Type="http://schemas.openxmlformats.org/officeDocument/2006/relationships/hyperlink" Target="https://my.zakupivli.pro/remote/dispatcher/state_contracting_view/22164357" TargetMode="External"/>
  <ns0:Relationship Id="rId503" Type="http://schemas.openxmlformats.org/officeDocument/2006/relationships/hyperlink" Target="https://my.zakupivli.pro/remote/dispatcher/state_purchase_view/51987923" TargetMode="External"/>
  <ns0:Relationship Id="rId504" Type="http://schemas.openxmlformats.org/officeDocument/2006/relationships/hyperlink" Target="https://my.zakupivli.pro/remote/dispatcher/state_purchase_lot_view/1328492" TargetMode="External"/>
  <ns0:Relationship Id="rId505" Type="http://schemas.openxmlformats.org/officeDocument/2006/relationships/hyperlink" Target="https://my.zakupivli.pro/remote/dispatcher/state_contracting_view/20982529" TargetMode="External"/>
  <ns0:Relationship Id="rId506" Type="http://schemas.openxmlformats.org/officeDocument/2006/relationships/hyperlink" Target="https://my.zakupivli.pro/remote/dispatcher/state_purchase_view/55911832" TargetMode="External"/>
  <ns0:Relationship Id="rId507" Type="http://schemas.openxmlformats.org/officeDocument/2006/relationships/hyperlink" Target="https://my.zakupivli.pro/remote/dispatcher/state_contracting_view/22576568" TargetMode="External"/>
  <ns0:Relationship Id="rId508" Type="http://schemas.openxmlformats.org/officeDocument/2006/relationships/hyperlink" Target="https://my.zakupivli.pro/remote/dispatcher/state_purchase_view/55970014" TargetMode="External"/>
  <ns0:Relationship Id="rId509" Type="http://schemas.openxmlformats.org/officeDocument/2006/relationships/hyperlink" Target="https://my.zakupivli.pro/remote/dispatcher/state_contracting_view/22602398" TargetMode="External"/>
  <ns0:Relationship Id="rId510" Type="http://schemas.openxmlformats.org/officeDocument/2006/relationships/hyperlink" Target="https://my.zakupivli.pro/remote/dispatcher/state_purchase_view/51924899" TargetMode="External"/>
  <ns0:Relationship Id="rId511" Type="http://schemas.openxmlformats.org/officeDocument/2006/relationships/hyperlink" Target="https://my.zakupivli.pro/remote/dispatcher/state_contracting_view/20858915" TargetMode="External"/>
  <ns0:Relationship Id="rId512" Type="http://schemas.openxmlformats.org/officeDocument/2006/relationships/hyperlink" Target="https://my.zakupivli.pro/remote/dispatcher/state_purchase_view/49340470" TargetMode="External"/>
  <ns0:Relationship Id="rId513" Type="http://schemas.openxmlformats.org/officeDocument/2006/relationships/hyperlink" Target="https://my.zakupivli.pro/remote/dispatcher/state_purchase_lot_view/1212695" TargetMode="External"/>
  <ns0:Relationship Id="rId514" Type="http://schemas.openxmlformats.org/officeDocument/2006/relationships/hyperlink" Target="https://my.zakupivli.pro/remote/dispatcher/state_contracting_view/19595663" TargetMode="External"/>
  <ns0:Relationship Id="rId515" Type="http://schemas.openxmlformats.org/officeDocument/2006/relationships/hyperlink" Target="https://my.zakupivli.pro/remote/dispatcher/state_purchase_view/49387298" TargetMode="External"/>
  <ns0:Relationship Id="rId516" Type="http://schemas.openxmlformats.org/officeDocument/2006/relationships/hyperlink" Target="https://my.zakupivli.pro/remote/dispatcher/state_purchase_lot_view/1214545" TargetMode="External"/>
  <ns0:Relationship Id="rId517" Type="http://schemas.openxmlformats.org/officeDocument/2006/relationships/hyperlink" Target="https://my.zakupivli.pro/remote/dispatcher/state_contracting_view/19556260" TargetMode="External"/>
  <ns0:Relationship Id="rId518" Type="http://schemas.openxmlformats.org/officeDocument/2006/relationships/hyperlink" Target="https://my.zakupivli.pro/remote/dispatcher/state_purchase_view/47919556" TargetMode="External"/>
  <ns0:Relationship Id="rId519" Type="http://schemas.openxmlformats.org/officeDocument/2006/relationships/hyperlink" Target="https://my.zakupivli.pro/remote/dispatcher/state_purchase_lot_view/1157968" TargetMode="External"/>
  <ns0:Relationship Id="rId520" Type="http://schemas.openxmlformats.org/officeDocument/2006/relationships/hyperlink" Target="https://my.zakupivli.pro/remote/dispatcher/state_contracting_view/18860265" TargetMode="External"/>
  <ns0:Relationship Id="rId521" Type="http://schemas.openxmlformats.org/officeDocument/2006/relationships/hyperlink" Target="https://my.zakupivli.pro/remote/dispatcher/state_purchase_view/50357221" TargetMode="External"/>
  <ns0:Relationship Id="rId522" Type="http://schemas.openxmlformats.org/officeDocument/2006/relationships/hyperlink" Target="https://my.zakupivli.pro/remote/dispatcher/state_purchase_lot_view/1255470" TargetMode="External"/>
  <ns0:Relationship Id="rId523" Type="http://schemas.openxmlformats.org/officeDocument/2006/relationships/hyperlink" Target="https://my.zakupivli.pro/remote/dispatcher/state_contracting_view/19919179" TargetMode="External"/>
  <ns0:Relationship Id="rId524" Type="http://schemas.openxmlformats.org/officeDocument/2006/relationships/hyperlink" Target="https://my.zakupivli.pro/remote/dispatcher/state_purchase_view/48449219" TargetMode="External"/>
  <ns0:Relationship Id="rId525" Type="http://schemas.openxmlformats.org/officeDocument/2006/relationships/hyperlink" Target="https://my.zakupivli.pro/remote/dispatcher/state_contracting_view/18942981" TargetMode="External"/>
  <ns0:Relationship Id="rId526" Type="http://schemas.openxmlformats.org/officeDocument/2006/relationships/hyperlink" Target="https://my.zakupivli.pro/remote/dispatcher/state_purchase_view/53726156" TargetMode="External"/>
  <ns0:Relationship Id="rId527" Type="http://schemas.openxmlformats.org/officeDocument/2006/relationships/hyperlink" Target="https://my.zakupivli.pro/remote/dispatcher/state_purchase_lot_view/1410215" TargetMode="External"/>
  <ns0:Relationship Id="rId528" Type="http://schemas.openxmlformats.org/officeDocument/2006/relationships/hyperlink" Target="https://my.zakupivli.pro/remote/dispatcher/state_contracting_view/22173949" TargetMode="External"/>
  <ns0:Relationship Id="rId529" Type="http://schemas.openxmlformats.org/officeDocument/2006/relationships/hyperlink" Target="https://my.zakupivli.pro/remote/dispatcher/state_purchase_view/48181519" TargetMode="External"/>
  <ns0:Relationship Id="rId530" Type="http://schemas.openxmlformats.org/officeDocument/2006/relationships/hyperlink" Target="https://my.zakupivli.pro/remote/dispatcher/state_contracting_view/18835599" TargetMode="External"/>
  <ns0:Relationship Id="rId531" Type="http://schemas.openxmlformats.org/officeDocument/2006/relationships/hyperlink" Target="https://my.zakupivli.pro/remote/dispatcher/state_purchase_view/48179374" TargetMode="External"/>
  <ns0:Relationship Id="rId532" Type="http://schemas.openxmlformats.org/officeDocument/2006/relationships/hyperlink" Target="https://my.zakupivli.pro/remote/dispatcher/state_contracting_view/18834651" TargetMode="External"/>
  <ns0:Relationship Id="rId533" Type="http://schemas.openxmlformats.org/officeDocument/2006/relationships/hyperlink" Target="https://my.zakupivli.pro/remote/dispatcher/state_purchase_view/48158382" TargetMode="External"/>
  <ns0:Relationship Id="rId534" Type="http://schemas.openxmlformats.org/officeDocument/2006/relationships/hyperlink" Target="https://my.zakupivli.pro/remote/dispatcher/state_contracting_view/18825775" TargetMode="External"/>
  <ns0:Relationship Id="rId535" Type="http://schemas.openxmlformats.org/officeDocument/2006/relationships/hyperlink" Target="https://my.zakupivli.pro/remote/dispatcher/state_purchase_view/48462611" TargetMode="External"/>
  <ns0:Relationship Id="rId536" Type="http://schemas.openxmlformats.org/officeDocument/2006/relationships/hyperlink" Target="https://my.zakupivli.pro/remote/dispatcher/state_contracting_view/18948903" TargetMode="External"/>
  <ns0:Relationship Id="rId537" Type="http://schemas.openxmlformats.org/officeDocument/2006/relationships/hyperlink" Target="https://my.zakupivli.pro/remote/dispatcher/state_purchase_view/48465455" TargetMode="External"/>
  <ns0:Relationship Id="rId538" Type="http://schemas.openxmlformats.org/officeDocument/2006/relationships/hyperlink" Target="https://my.zakupivli.pro/remote/dispatcher/state_contracting_view/18950025" TargetMode="External"/>
  <ns0:Relationship Id="rId539" Type="http://schemas.openxmlformats.org/officeDocument/2006/relationships/hyperlink" Target="https://my.zakupivli.pro/remote/dispatcher/state_purchase_view/48265074" TargetMode="External"/>
  <ns0:Relationship Id="rId540" Type="http://schemas.openxmlformats.org/officeDocument/2006/relationships/hyperlink" Target="https://my.zakupivli.pro/remote/dispatcher/state_contracting_view/18869393" TargetMode="External"/>
  <ns0:Relationship Id="rId541" Type="http://schemas.openxmlformats.org/officeDocument/2006/relationships/hyperlink" Target="https://my.zakupivli.pro/remote/dispatcher/state_purchase_view/48264441" TargetMode="External"/>
  <ns0:Relationship Id="rId542" Type="http://schemas.openxmlformats.org/officeDocument/2006/relationships/hyperlink" Target="https://my.zakupivli.pro/remote/dispatcher/state_contracting_view/18869191" TargetMode="External"/>
  <ns0:Relationship Id="rId543" Type="http://schemas.openxmlformats.org/officeDocument/2006/relationships/hyperlink" Target="https://my.zakupivli.pro/remote/dispatcher/state_purchase_view/48934045" TargetMode="External"/>
  <ns0:Relationship Id="rId544" Type="http://schemas.openxmlformats.org/officeDocument/2006/relationships/hyperlink" Target="https://my.zakupivli.pro/remote/dispatcher/state_contracting_view/19150875" TargetMode="External"/>
  <ns0:Relationship Id="rId545" Type="http://schemas.openxmlformats.org/officeDocument/2006/relationships/hyperlink" Target="https://my.zakupivli.pro/remote/dispatcher/state_purchase_view/48608535" TargetMode="External"/>
  <ns0:Relationship Id="rId546" Type="http://schemas.openxmlformats.org/officeDocument/2006/relationships/hyperlink" Target="https://my.zakupivli.pro/remote/dispatcher/state_contracting_view/19010578" TargetMode="External"/>
  <ns0:Relationship Id="rId547" Type="http://schemas.openxmlformats.org/officeDocument/2006/relationships/hyperlink" Target="https://my.zakupivli.pro/remote/dispatcher/state_purchase_view/49522104" TargetMode="External"/>
  <ns0:Relationship Id="rId548" Type="http://schemas.openxmlformats.org/officeDocument/2006/relationships/hyperlink" Target="https://my.zakupivli.pro/remote/dispatcher/state_contracting_view/19402974" TargetMode="External"/>
  <ns0:Relationship Id="rId549" Type="http://schemas.openxmlformats.org/officeDocument/2006/relationships/hyperlink" Target="https://my.zakupivli.pro/remote/dispatcher/state_purchase_view/55726273" TargetMode="External"/>
  <ns0:Relationship Id="rId550" Type="http://schemas.openxmlformats.org/officeDocument/2006/relationships/hyperlink" Target="https://my.zakupivli.pro/remote/dispatcher/state_contracting_view/22495424" TargetMode="External"/>
  <ns0:Relationship Id="rId551" Type="http://schemas.openxmlformats.org/officeDocument/2006/relationships/hyperlink" Target="https://my.zakupivli.pro/remote/dispatcher/state_purchase_view/55395564" TargetMode="External"/>
  <ns0:Relationship Id="rId552" Type="http://schemas.openxmlformats.org/officeDocument/2006/relationships/hyperlink" Target="https://my.zakupivli.pro/remote/dispatcher/state_contracting_view/22353137" TargetMode="External"/>
  <ns0:Relationship Id="rId553" Type="http://schemas.openxmlformats.org/officeDocument/2006/relationships/hyperlink" Target="https://my.zakupivli.pro/remote/dispatcher/state_purchase_view/53460765" TargetMode="External"/>
  <ns0:Relationship Id="rId554" Type="http://schemas.openxmlformats.org/officeDocument/2006/relationships/hyperlink" Target="https://my.zakupivli.pro/remote/dispatcher/state_contracting_view/21520985" TargetMode="External"/>
  <ns0:Relationship Id="rId555" Type="http://schemas.openxmlformats.org/officeDocument/2006/relationships/hyperlink" Target="https://my.zakupivli.pro/remote/dispatcher/state_purchase_view/53836066" TargetMode="External"/>
  <ns0:Relationship Id="rId556" Type="http://schemas.openxmlformats.org/officeDocument/2006/relationships/hyperlink" Target="https://my.zakupivli.pro/remote/dispatcher/state_contracting_view/21681849" TargetMode="External"/>
  <ns0:Relationship Id="rId557" Type="http://schemas.openxmlformats.org/officeDocument/2006/relationships/hyperlink" Target="https://my.zakupivli.pro/remote/dispatcher/state_purchase_view/53546806" TargetMode="External"/>
  <ns0:Relationship Id="rId558" Type="http://schemas.openxmlformats.org/officeDocument/2006/relationships/hyperlink" Target="https://my.zakupivli.pro/remote/dispatcher/state_contracting_view/21557486" TargetMode="External"/>
  <ns0:Relationship Id="rId559" Type="http://schemas.openxmlformats.org/officeDocument/2006/relationships/hyperlink" Target="https://my.zakupivli.pro/remote/dispatcher/state_purchase_view/50623392" TargetMode="External"/>
  <ns0:Relationship Id="rId560" Type="http://schemas.openxmlformats.org/officeDocument/2006/relationships/hyperlink" Target="https://my.zakupivli.pro/remote/dispatcher/state_contracting_view/19883413" TargetMode="External"/>
  <ns0:Relationship Id="rId561" Type="http://schemas.openxmlformats.org/officeDocument/2006/relationships/hyperlink" Target="https://my.zakupivli.pro/remote/dispatcher/state_purchase_view/50640696" TargetMode="External"/>
  <ns0:Relationship Id="rId562" Type="http://schemas.openxmlformats.org/officeDocument/2006/relationships/hyperlink" Target="https://my.zakupivli.pro/remote/dispatcher/state_contracting_view/19891192" TargetMode="External"/>
  <ns0:Relationship Id="rId563" Type="http://schemas.openxmlformats.org/officeDocument/2006/relationships/hyperlink" Target="https://my.zakupivli.pro/remote/dispatcher/state_purchase_view/50110409" TargetMode="External"/>
  <ns0:Relationship Id="rId564" Type="http://schemas.openxmlformats.org/officeDocument/2006/relationships/hyperlink" Target="https://my.zakupivli.pro/remote/dispatcher/state_contracting_view/19656558" TargetMode="External"/>
  <ns0:Relationship Id="rId565" Type="http://schemas.openxmlformats.org/officeDocument/2006/relationships/hyperlink" Target="https://my.zakupivli.pro/remote/dispatcher/state_purchase_view/52510425" TargetMode="External"/>
  <ns0:Relationship Id="rId566" Type="http://schemas.openxmlformats.org/officeDocument/2006/relationships/hyperlink" Target="https://my.zakupivli.pro/remote/dispatcher/state_contracting_view/21113299" TargetMode="External"/>
  <ns0:Relationship Id="rId567" Type="http://schemas.openxmlformats.org/officeDocument/2006/relationships/hyperlink" Target="https://my.zakupivli.pro/remote/dispatcher/state_purchase_view/52314709" TargetMode="External"/>
  <ns0:Relationship Id="rId568" Type="http://schemas.openxmlformats.org/officeDocument/2006/relationships/hyperlink" Target="https://my.zakupivli.pro/remote/dispatcher/state_purchase_lot_view/1344005" TargetMode="External"/>
  <ns0:Relationship Id="rId569" Type="http://schemas.openxmlformats.org/officeDocument/2006/relationships/hyperlink" Target="https://my.zakupivli.pro/remote/dispatcher/state_contracting_view/21101879" TargetMode="External"/>
  <ns0:Relationship Id="rId570" Type="http://schemas.openxmlformats.org/officeDocument/2006/relationships/hyperlink" Target="https://my.zakupivli.pro/remote/dispatcher/state_purchase_view/48449295" TargetMode="External"/>
  <ns0:Relationship Id="rId571" Type="http://schemas.openxmlformats.org/officeDocument/2006/relationships/hyperlink" Target="https://my.zakupivli.pro/remote/dispatcher/state_contracting_view/18942983" TargetMode="External"/>
  <ns0:Relationship Id="rId572" Type="http://schemas.openxmlformats.org/officeDocument/2006/relationships/hyperlink" Target="https://my.zakupivli.pro/remote/dispatcher/state_purchase_view/48824836" TargetMode="External"/>
  <ns0:Relationship Id="rId573" Type="http://schemas.openxmlformats.org/officeDocument/2006/relationships/hyperlink" Target="https://my.zakupivli.pro/remote/dispatcher/state_contracting_view/19103770" TargetMode="External"/>
  <ns0:Relationship Id="rId574" Type="http://schemas.openxmlformats.org/officeDocument/2006/relationships/hyperlink" Target="https://my.zakupivli.pro/remote/dispatcher/state_purchase_view/51336197" TargetMode="External"/>
  <ns0:Relationship Id="rId575" Type="http://schemas.openxmlformats.org/officeDocument/2006/relationships/hyperlink" Target="https://my.zakupivli.pro/remote/dispatcher/state_contracting_view/20602519" TargetMode="External"/>
  <ns0:Relationship Id="rId576" Type="http://schemas.openxmlformats.org/officeDocument/2006/relationships/hyperlink" Target="https://my.zakupivli.pro/remote/dispatcher/state_purchase_view/51709840" TargetMode="External"/>
  <ns0:Relationship Id="rId577" Type="http://schemas.openxmlformats.org/officeDocument/2006/relationships/hyperlink" Target="https://my.zakupivli.pro/remote/dispatcher/state_contracting_view/20764252" TargetMode="External"/>
  <ns0:Relationship Id="rId578" Type="http://schemas.openxmlformats.org/officeDocument/2006/relationships/hyperlink" Target="https://my.zakupivli.pro/remote/dispatcher/state_purchase_view/55226091" TargetMode="External"/>
  <ns0:Relationship Id="rId579" Type="http://schemas.openxmlformats.org/officeDocument/2006/relationships/hyperlink" Target="https://my.zakupivli.pro/remote/dispatcher/state_contracting_view/22281006" TargetMode="External"/>
  <ns0:Relationship Id="rId580" Type="http://schemas.openxmlformats.org/officeDocument/2006/relationships/hyperlink" Target="https://my.zakupivli.pro/remote/dispatcher/state_purchase_view/56145664" TargetMode="External"/>
  <ns0:Relationship Id="rId581" Type="http://schemas.openxmlformats.org/officeDocument/2006/relationships/hyperlink" Target="https://my.zakupivli.pro/remote/dispatcher/state_contracting_view/22681583" TargetMode="External"/>
  <ns0:Relationship Id="rId582" Type="http://schemas.openxmlformats.org/officeDocument/2006/relationships/hyperlink" Target="https://my.zakupivli.pro/remote/dispatcher/state_purchase_view/49985184" TargetMode="External"/>
  <ns0:Relationship Id="rId583" Type="http://schemas.openxmlformats.org/officeDocument/2006/relationships/hyperlink" Target="https://my.zakupivli.pro/remote/dispatcher/state_contracting_view/19601683" TargetMode="External"/>
  <ns0:Relationship Id="rId584" Type="http://schemas.openxmlformats.org/officeDocument/2006/relationships/hyperlink" Target="https://my.zakupivli.pro/remote/dispatcher/state_purchase_view/53000897" TargetMode="External"/>
  <ns0:Relationship Id="rId585" Type="http://schemas.openxmlformats.org/officeDocument/2006/relationships/hyperlink" Target="https://my.zakupivli.pro/remote/dispatcher/state_contracting_view/21326433" TargetMode="External"/>
  <ns0:Relationship Id="rId586" Type="http://schemas.openxmlformats.org/officeDocument/2006/relationships/hyperlink" Target="https://my.zakupivli.pro/remote/dispatcher/state_purchase_view/54328406" TargetMode="External"/>
  <ns0:Relationship Id="rId587" Type="http://schemas.openxmlformats.org/officeDocument/2006/relationships/hyperlink" Target="https://my.zakupivli.pro/remote/dispatcher/state_contracting_view/21894797" TargetMode="External"/>
  <ns0:Relationship Id="rId588" Type="http://schemas.openxmlformats.org/officeDocument/2006/relationships/hyperlink" Target="https://my.zakupivli.pro/remote/dispatcher/state_purchase_view/54794281" TargetMode="External"/>
  <ns0:Relationship Id="rId589" Type="http://schemas.openxmlformats.org/officeDocument/2006/relationships/hyperlink" Target="https://my.zakupivli.pro/remote/dispatcher/state_contracting_view/22095029" TargetMode="External"/>
  <ns0:Relationship Id="rId590" Type="http://schemas.openxmlformats.org/officeDocument/2006/relationships/hyperlink" Target="https://my.zakupivli.pro/remote/dispatcher/state_purchase_view/55973608" TargetMode="External"/>
  <ns0:Relationship Id="rId591" Type="http://schemas.openxmlformats.org/officeDocument/2006/relationships/hyperlink" Target="https://my.zakupivli.pro/remote/dispatcher/state_contracting_view/22603772" TargetMode="External"/>
  <ns0:Relationship Id="rId592" Type="http://schemas.openxmlformats.org/officeDocument/2006/relationships/hyperlink" Target="https://my.zakupivli.pro/remote/dispatcher/state_purchase_view/54600681" TargetMode="External"/>
  <ns0:Relationship Id="rId593" Type="http://schemas.openxmlformats.org/officeDocument/2006/relationships/hyperlink" Target="https://my.zakupivli.pro/remote/dispatcher/state_purchase_lot_view/1448736" TargetMode="External"/>
  <ns0:Relationship Id="rId594" Type="http://schemas.openxmlformats.org/officeDocument/2006/relationships/hyperlink" Target="https://my.zakupivli.pro/remote/dispatcher/state_contracting_view/22191751" TargetMode="External"/>
  <ns0:Relationship Id="rId595" Type="http://schemas.openxmlformats.org/officeDocument/2006/relationships/hyperlink" Target="https://my.zakupivli.pro/remote/dispatcher/state_purchase_view/51939761" TargetMode="External"/>
  <ns0:Relationship Id="rId596" Type="http://schemas.openxmlformats.org/officeDocument/2006/relationships/hyperlink" Target="https://my.zakupivli.pro/remote/dispatcher/state_purchase_lot_view/1326241" TargetMode="External"/>
  <ns0:Relationship Id="rId597" Type="http://schemas.openxmlformats.org/officeDocument/2006/relationships/hyperlink" Target="https://my.zakupivli.pro/remote/dispatcher/state_contracting_view/20952422" TargetMode="External"/>
  <ns0:Relationship Id="rId598" Type="http://schemas.openxmlformats.org/officeDocument/2006/relationships/hyperlink" Target="https://my.zakupivli.pro/remote/dispatcher/state_purchase_view/49274130" TargetMode="External"/>
  <ns0:Relationship Id="rId599" Type="http://schemas.openxmlformats.org/officeDocument/2006/relationships/hyperlink" Target="https://my.zakupivli.pro/remote/dispatcher/state_contracting_view/19296246" TargetMode="External"/>
  <ns0:Relationship Id="rId600" Type="http://schemas.openxmlformats.org/officeDocument/2006/relationships/hyperlink" Target="https://my.zakupivli.pro/remote/dispatcher/state_purchase_view/50638428" TargetMode="External"/>
  <ns0:Relationship Id="rId601" Type="http://schemas.openxmlformats.org/officeDocument/2006/relationships/hyperlink" Target="https://my.zakupivli.pro/remote/dispatcher/state_contracting_view/19890091" TargetMode="External"/>
  <ns0:Relationship Id="rId602" Type="http://schemas.openxmlformats.org/officeDocument/2006/relationships/hyperlink" Target="https://my.zakupivli.pro/remote/dispatcher/state_purchase_view/49593023" TargetMode="External"/>
  <ns0:Relationship Id="rId603" Type="http://schemas.openxmlformats.org/officeDocument/2006/relationships/hyperlink" Target="https://my.zakupivli.pro/remote/dispatcher/state_contracting_view/19433292" TargetMode="External"/>
  <ns0:Relationship Id="rId604" Type="http://schemas.openxmlformats.org/officeDocument/2006/relationships/hyperlink" Target="https://my.zakupivli.pro/remote/dispatcher/state_purchase_view/49769189" TargetMode="External"/>
  <ns0:Relationship Id="rId605" Type="http://schemas.openxmlformats.org/officeDocument/2006/relationships/hyperlink" Target="https://my.zakupivli.pro/remote/dispatcher/state_purchase_lot_view/1230754" TargetMode="External"/>
  <ns0:Relationship Id="rId606" Type="http://schemas.openxmlformats.org/officeDocument/2006/relationships/hyperlink" Target="https://my.zakupivli.pro/remote/dispatcher/state_contracting_view/19720791" TargetMode="External"/>
  <ns0:Relationship Id="rId607" Type="http://schemas.openxmlformats.org/officeDocument/2006/relationships/hyperlink" Target="https://my.zakupivli.pro/remote/dispatcher/state_purchase_view/51311529" TargetMode="External"/>
  <ns0:Relationship Id="rId608" Type="http://schemas.openxmlformats.org/officeDocument/2006/relationships/hyperlink" Target="https://my.zakupivli.pro/remote/dispatcher/state_purchase_lot_view/1297024" TargetMode="External"/>
  <ns0:Relationship Id="rId609" Type="http://schemas.openxmlformats.org/officeDocument/2006/relationships/hyperlink" Target="https://my.zakupivli.pro/remote/dispatcher/state_contracting_view/20683771" TargetMode="External"/>
  <ns0:Relationship Id="rId610" Type="http://schemas.openxmlformats.org/officeDocument/2006/relationships/hyperlink" Target="https://my.zakupivli.pro/remote/dispatcher/state_purchase_view/50505487" TargetMode="External"/>
  <ns0:Relationship Id="rId611" Type="http://schemas.openxmlformats.org/officeDocument/2006/relationships/hyperlink" Target="https://my.zakupivli.pro/remote/dispatcher/state_purchase_lot_view/1261754" TargetMode="External"/>
  <ns0:Relationship Id="rId612" Type="http://schemas.openxmlformats.org/officeDocument/2006/relationships/hyperlink" Target="https://my.zakupivli.pro/remote/dispatcher/state_contracting_view/19925534" TargetMode="External"/>
  <ns0:Relationship Id="rId613" Type="http://schemas.openxmlformats.org/officeDocument/2006/relationships/hyperlink" Target="https://my.zakupivli.pro/remote/dispatcher/state_purchase_view/52226337" TargetMode="External"/>
  <ns0:Relationship Id="rId614" Type="http://schemas.openxmlformats.org/officeDocument/2006/relationships/hyperlink" Target="https://my.zakupivli.pro/remote/dispatcher/state_contracting_view/20990366" TargetMode="External"/>
  <ns0:Relationship Id="rId615" Type="http://schemas.openxmlformats.org/officeDocument/2006/relationships/hyperlink" Target="https://my.zakupivli.pro/remote/dispatcher/state_purchase_view/48646102" TargetMode="External"/>
  <ns0:Relationship Id="rId616" Type="http://schemas.openxmlformats.org/officeDocument/2006/relationships/hyperlink" Target="https://my.zakupivli.pro/remote/dispatcher/state_contracting_view/19027454" TargetMode="External"/>
  <ns0:Relationship Id="rId617" Type="http://schemas.openxmlformats.org/officeDocument/2006/relationships/hyperlink" Target="https://my.zakupivli.pro/remote/dispatcher/state_purchase_view/48646765" TargetMode="External"/>
  <ns0:Relationship Id="rId618" Type="http://schemas.openxmlformats.org/officeDocument/2006/relationships/hyperlink" Target="https://my.zakupivli.pro/remote/dispatcher/state_contracting_view/19027024" TargetMode="External"/>
  <ns0:Relationship Id="rId619" Type="http://schemas.openxmlformats.org/officeDocument/2006/relationships/hyperlink" Target="https://my.zakupivli.pro/remote/dispatcher/state_purchase_view/51709113" TargetMode="External"/>
  <ns0:Relationship Id="rId620" Type="http://schemas.openxmlformats.org/officeDocument/2006/relationships/hyperlink" Target="https://my.zakupivli.pro/remote/dispatcher/state_contracting_view/20763907" TargetMode="External"/>
  <ns0:Relationship Id="rId621" Type="http://schemas.openxmlformats.org/officeDocument/2006/relationships/hyperlink" Target="https://my.zakupivli.pro/remote/dispatcher/state_purchase_view/52414189" TargetMode="External"/>
  <ns0:Relationship Id="rId622" Type="http://schemas.openxmlformats.org/officeDocument/2006/relationships/hyperlink" Target="https://my.zakupivli.pro/remote/dispatcher/state_contracting_view/21072291" TargetMode="External"/>
  <ns0:Relationship Id="rId623" Type="http://schemas.openxmlformats.org/officeDocument/2006/relationships/hyperlink" Target="https://my.zakupivli.pro/remote/dispatcher/state_purchase_view/50086888" TargetMode="External"/>
  <ns0:Relationship Id="rId624" Type="http://schemas.openxmlformats.org/officeDocument/2006/relationships/hyperlink" Target="https://my.zakupivli.pro/remote/dispatcher/state_contracting_view/19646396" TargetMode="External"/>
  <ns0:Relationship Id="rId625" Type="http://schemas.openxmlformats.org/officeDocument/2006/relationships/hyperlink" Target="https://my.zakupivli.pro/remote/dispatcher/state_purchase_view/52065194" TargetMode="External"/>
  <ns0:Relationship Id="rId626" Type="http://schemas.openxmlformats.org/officeDocument/2006/relationships/hyperlink" Target="https://my.zakupivli.pro/remote/dispatcher/state_contracting_view/20919600" TargetMode="External"/>
  <ns0:Relationship Id="rId627" Type="http://schemas.openxmlformats.org/officeDocument/2006/relationships/hyperlink" Target="https://my.zakupivli.pro/remote/dispatcher/state_purchase_view/52364958" TargetMode="External"/>
  <ns0:Relationship Id="rId628" Type="http://schemas.openxmlformats.org/officeDocument/2006/relationships/hyperlink" Target="https://my.zakupivli.pro/remote/dispatcher/state_contracting_view/21050745" TargetMode="External"/>
  <ns0:Relationship Id="rId629" Type="http://schemas.openxmlformats.org/officeDocument/2006/relationships/hyperlink" Target="https://my.zakupivli.pro/remote/dispatcher/state_purchase_view/53024042" TargetMode="External"/>
  <ns0:Relationship Id="rId630" Type="http://schemas.openxmlformats.org/officeDocument/2006/relationships/hyperlink" Target="https://my.zakupivli.pro/remote/dispatcher/state_purchase_lot_view/1377649" TargetMode="External"/>
  <ns0:Relationship Id="rId631" Type="http://schemas.openxmlformats.org/officeDocument/2006/relationships/hyperlink" Target="https://my.zakupivli.pro/remote/dispatcher/state_contracting_view/21491380" TargetMode="External"/>
  <ns0:Relationship Id="rId632" Type="http://schemas.openxmlformats.org/officeDocument/2006/relationships/hyperlink" Target="https://my.zakupivli.pro/remote/dispatcher/state_purchase_view/53883655" TargetMode="External"/>
  <ns0:Relationship Id="rId633" Type="http://schemas.openxmlformats.org/officeDocument/2006/relationships/hyperlink" Target="https://my.zakupivli.pro/remote/dispatcher/state_contracting_view/21702469" TargetMode="External"/>
  <ns0:Relationship Id="rId634" Type="http://schemas.openxmlformats.org/officeDocument/2006/relationships/hyperlink" Target="https://my.zakupivli.pro/remote/dispatcher/state_purchase_view/54808673" TargetMode="External"/>
  <ns0:Relationship Id="rId635" Type="http://schemas.openxmlformats.org/officeDocument/2006/relationships/hyperlink" Target="https://my.zakupivli.pro/remote/dispatcher/state_contracting_view/22101242" TargetMode="External"/>
  <ns0:Relationship Id="rId636" Type="http://schemas.openxmlformats.org/officeDocument/2006/relationships/hyperlink" Target="https://my.zakupivli.pro/remote/dispatcher/state_purchase_view/56212653" TargetMode="External"/>
  <ns0:Relationship Id="rId637" Type="http://schemas.openxmlformats.org/officeDocument/2006/relationships/hyperlink" Target="https://my.zakupivli.pro/remote/dispatcher/state_contracting_view/22713480" TargetMode="External"/>
  <ns0:Relationship Id="rId638" Type="http://schemas.openxmlformats.org/officeDocument/2006/relationships/hyperlink" Target="https://my.zakupivli.pro/remote/dispatcher/state_purchase_view/48827227" TargetMode="External"/>
  <ns0:Relationship Id="rId639" Type="http://schemas.openxmlformats.org/officeDocument/2006/relationships/hyperlink" Target="https://my.zakupivli.pro/remote/dispatcher/state_contracting_view/19104762" TargetMode="External"/>
  <ns0:Relationship Id="rId640" Type="http://schemas.openxmlformats.org/officeDocument/2006/relationships/hyperlink" Target="https://my.zakupivli.pro/remote/dispatcher/state_purchase_view/53867507" TargetMode="External"/>
  <ns0:Relationship Id="rId641" Type="http://schemas.openxmlformats.org/officeDocument/2006/relationships/hyperlink" Target="https://my.zakupivli.pro/remote/dispatcher/state_purchase_lot_view/1416814" TargetMode="External"/>
  <ns0:Relationship Id="rId642" Type="http://schemas.openxmlformats.org/officeDocument/2006/relationships/hyperlink" Target="https://my.zakupivli.pro/remote/dispatcher/state_contracting_view/21792442" TargetMode="External"/>
  <ns0:Relationship Id="rId643" Type="http://schemas.openxmlformats.org/officeDocument/2006/relationships/hyperlink" Target="https://my.zakupivli.pro/remote/dispatcher/state_purchase_view/53714424" TargetMode="External"/>
  <ns0:Relationship Id="rId644" Type="http://schemas.openxmlformats.org/officeDocument/2006/relationships/hyperlink" Target="https://my.zakupivli.pro/remote/dispatcher/state_purchase_lot_view/1409683" TargetMode="External"/>
  <ns0:Relationship Id="rId645" Type="http://schemas.openxmlformats.org/officeDocument/2006/relationships/hyperlink" Target="https://my.zakupivli.pro/remote/dispatcher/state_contracting_view/21757672" TargetMode="External"/>
  <ns0:Relationship Id="rId646" Type="http://schemas.openxmlformats.org/officeDocument/2006/relationships/hyperlink" Target="https://my.zakupivli.pro/remote/dispatcher/state_purchase_view/47755226" TargetMode="External"/>
  <ns0:Relationship Id="rId647" Type="http://schemas.openxmlformats.org/officeDocument/2006/relationships/hyperlink" Target="https://my.zakupivli.pro/remote/dispatcher/state_purchase_lot_view/1152952" TargetMode="External"/>
  <ns0:Relationship Id="rId648" Type="http://schemas.openxmlformats.org/officeDocument/2006/relationships/hyperlink" Target="https://my.zakupivli.pro/remote/dispatcher/state_contracting_view/18885421" TargetMode="External"/>
  <ns0:Relationship Id="rId649" Type="http://schemas.openxmlformats.org/officeDocument/2006/relationships/hyperlink" Target="https://my.zakupivli.pro/remote/dispatcher/state_purchase_view/49692484" TargetMode="External"/>
  <ns0:Relationship Id="rId650" Type="http://schemas.openxmlformats.org/officeDocument/2006/relationships/hyperlink" Target="https://my.zakupivli.pro/remote/dispatcher/state_purchase_lot_view/1227612" TargetMode="External"/>
  <ns0:Relationship Id="rId651" Type="http://schemas.openxmlformats.org/officeDocument/2006/relationships/hyperlink" Target="https://my.zakupivli.pro/remote/dispatcher/state_contracting_view/19646256" TargetMode="External"/>
  <ns0:Relationship Id="rId652" Type="http://schemas.openxmlformats.org/officeDocument/2006/relationships/hyperlink" Target="https://my.zakupivli.pro/remote/dispatcher/state_purchase_view/48246725" TargetMode="External"/>
  <ns0:Relationship Id="rId653" Type="http://schemas.openxmlformats.org/officeDocument/2006/relationships/hyperlink" Target="https://my.zakupivli.pro/remote/dispatcher/state_contracting_view/18862396" TargetMode="External"/>
  <ns0:Relationship Id="rId654" Type="http://schemas.openxmlformats.org/officeDocument/2006/relationships/hyperlink" Target="https://my.zakupivli.pro/remote/dispatcher/state_purchase_view/49010636" TargetMode="External"/>
  <ns0:Relationship Id="rId655" Type="http://schemas.openxmlformats.org/officeDocument/2006/relationships/hyperlink" Target="https://my.zakupivli.pro/remote/dispatcher/state_contracting_view/19183244" TargetMode="External"/>
  <ns0:Relationship Id="rId656" Type="http://schemas.openxmlformats.org/officeDocument/2006/relationships/hyperlink" Target="https://my.zakupivli.pro/remote/dispatcher/state_purchase_view/49296011" TargetMode="External"/>
  <ns0:Relationship Id="rId657" Type="http://schemas.openxmlformats.org/officeDocument/2006/relationships/hyperlink" Target="https://my.zakupivli.pro/remote/dispatcher/state_contracting_view/19305896" TargetMode="External"/>
  <ns0:Relationship Id="rId658" Type="http://schemas.openxmlformats.org/officeDocument/2006/relationships/hyperlink" Target="https://my.zakupivli.pro/remote/dispatcher/state_purchase_view/49316482" TargetMode="External"/>
  <ns0:Relationship Id="rId659" Type="http://schemas.openxmlformats.org/officeDocument/2006/relationships/hyperlink" Target="https://my.zakupivli.pro/remote/dispatcher/state_contracting_view/19314750" TargetMode="External"/>
  <ns0:Relationship Id="rId660" Type="http://schemas.openxmlformats.org/officeDocument/2006/relationships/hyperlink" Target="https://my.zakupivli.pro/remote/dispatcher/state_purchase_view/49649148" TargetMode="External"/>
  <ns0:Relationship Id="rId661" Type="http://schemas.openxmlformats.org/officeDocument/2006/relationships/hyperlink" Target="https://my.zakupivli.pro/remote/dispatcher/state_contracting_view/19457364" TargetMode="External"/>
  <ns0:Relationship Id="rId662" Type="http://schemas.openxmlformats.org/officeDocument/2006/relationships/hyperlink" Target="https://my.zakupivli.pro/remote/dispatcher/state_purchase_view/49704718" TargetMode="External"/>
  <ns0:Relationship Id="rId663" Type="http://schemas.openxmlformats.org/officeDocument/2006/relationships/hyperlink" Target="https://my.zakupivli.pro/remote/dispatcher/state_contracting_view/19481415" TargetMode="External"/>
  <ns0:Relationship Id="rId664" Type="http://schemas.openxmlformats.org/officeDocument/2006/relationships/hyperlink" Target="https://my.zakupivli.pro/remote/dispatcher/state_purchase_view/49064151" TargetMode="External"/>
  <ns0:Relationship Id="rId665" Type="http://schemas.openxmlformats.org/officeDocument/2006/relationships/hyperlink" Target="https://my.zakupivli.pro/remote/dispatcher/state_contracting_view/19206119" TargetMode="External"/>
  <ns0:Relationship Id="rId666" Type="http://schemas.openxmlformats.org/officeDocument/2006/relationships/hyperlink" Target="https://my.zakupivli.pro/remote/dispatcher/state_purchase_view/49647881" TargetMode="External"/>
  <ns0:Relationship Id="rId667" Type="http://schemas.openxmlformats.org/officeDocument/2006/relationships/hyperlink" Target="https://my.zakupivli.pro/remote/dispatcher/state_contracting_view/19456880" TargetMode="External"/>
  <ns0:Relationship Id="rId668" Type="http://schemas.openxmlformats.org/officeDocument/2006/relationships/hyperlink" Target="https://my.zakupivli.pro/remote/dispatcher/state_purchase_view/49646924" TargetMode="External"/>
  <ns0:Relationship Id="rId669" Type="http://schemas.openxmlformats.org/officeDocument/2006/relationships/hyperlink" Target="https://my.zakupivli.pro/remote/dispatcher/state_contracting_view/19456384" TargetMode="External"/>
  <ns0:Relationship Id="rId670" Type="http://schemas.openxmlformats.org/officeDocument/2006/relationships/hyperlink" Target="https://my.zakupivli.pro/remote/dispatcher/state_purchase_view/49933595" TargetMode="External"/>
  <ns0:Relationship Id="rId671" Type="http://schemas.openxmlformats.org/officeDocument/2006/relationships/hyperlink" Target="https://my.zakupivli.pro/remote/dispatcher/state_contracting_view/19579259" TargetMode="External"/>
  <ns0:Relationship Id="rId672" Type="http://schemas.openxmlformats.org/officeDocument/2006/relationships/hyperlink" Target="https://my.zakupivli.pro/remote/dispatcher/state_purchase_view/49934206" TargetMode="External"/>
  <ns0:Relationship Id="rId673" Type="http://schemas.openxmlformats.org/officeDocument/2006/relationships/hyperlink" Target="https://my.zakupivli.pro/remote/dispatcher/state_contracting_view/19579524" TargetMode="External"/>
  <ns0:Relationship Id="rId674" Type="http://schemas.openxmlformats.org/officeDocument/2006/relationships/hyperlink" Target="https://my.zakupivli.pro/remote/dispatcher/state_purchase_view/50109952" TargetMode="External"/>
  <ns0:Relationship Id="rId675" Type="http://schemas.openxmlformats.org/officeDocument/2006/relationships/hyperlink" Target="https://my.zakupivli.pro/remote/dispatcher/state_contracting_view/19656417" TargetMode="External"/>
  <ns0:Relationship Id="rId676" Type="http://schemas.openxmlformats.org/officeDocument/2006/relationships/hyperlink" Target="https://my.zakupivli.pro/remote/dispatcher/state_purchase_view/48848296" TargetMode="External"/>
  <ns0:Relationship Id="rId677" Type="http://schemas.openxmlformats.org/officeDocument/2006/relationships/hyperlink" Target="https://my.zakupivli.pro/remote/dispatcher/state_contracting_view/19113915" TargetMode="External"/>
  <ns0:Relationship Id="rId678" Type="http://schemas.openxmlformats.org/officeDocument/2006/relationships/hyperlink" Target="https://my.zakupivli.pro/remote/dispatcher/state_purchase_view/48396753" TargetMode="External"/>
  <ns0:Relationship Id="rId679" Type="http://schemas.openxmlformats.org/officeDocument/2006/relationships/hyperlink" Target="https://my.zakupivli.pro/remote/dispatcher/state_contracting_view/18921504" TargetMode="External"/>
  <ns0:Relationship Id="rId680" Type="http://schemas.openxmlformats.org/officeDocument/2006/relationships/hyperlink" Target="https://my.zakupivli.pro/remote/dispatcher/state_purchase_view/48417645" TargetMode="External"/>
  <ns0:Relationship Id="rId681" Type="http://schemas.openxmlformats.org/officeDocument/2006/relationships/hyperlink" Target="https://my.zakupivli.pro/remote/dispatcher/state_contracting_view/18929667" TargetMode="External"/>
  <ns0:Relationship Id="rId682" Type="http://schemas.openxmlformats.org/officeDocument/2006/relationships/hyperlink" Target="https://my.zakupivli.pro/remote/dispatcher/state_purchase_view/48316785" TargetMode="External"/>
  <ns0:Relationship Id="rId683" Type="http://schemas.openxmlformats.org/officeDocument/2006/relationships/hyperlink" Target="https://my.zakupivli.pro/remote/dispatcher/state_contracting_view/18889403" TargetMode="External"/>
  <ns0:Relationship Id="rId684" Type="http://schemas.openxmlformats.org/officeDocument/2006/relationships/hyperlink" Target="https://my.zakupivli.pro/remote/dispatcher/state_purchase_view/48321133" TargetMode="External"/>
  <ns0:Relationship Id="rId685" Type="http://schemas.openxmlformats.org/officeDocument/2006/relationships/hyperlink" Target="https://my.zakupivli.pro/remote/dispatcher/state_contracting_view/18891217" TargetMode="External"/>
  <ns0:Relationship Id="rId686" Type="http://schemas.openxmlformats.org/officeDocument/2006/relationships/hyperlink" Target="https://my.zakupivli.pro/remote/dispatcher/state_purchase_view/48700117" TargetMode="External"/>
  <ns0:Relationship Id="rId687" Type="http://schemas.openxmlformats.org/officeDocument/2006/relationships/hyperlink" Target="https://my.zakupivli.pro/remote/dispatcher/state_contracting_view/19049553" TargetMode="External"/>
  <ns0:Relationship Id="rId688" Type="http://schemas.openxmlformats.org/officeDocument/2006/relationships/hyperlink" Target="https://my.zakupivli.pro/remote/dispatcher/state_purchase_view/48463722" TargetMode="External"/>
  <ns0:Relationship Id="rId689" Type="http://schemas.openxmlformats.org/officeDocument/2006/relationships/hyperlink" Target="https://my.zakupivli.pro/remote/dispatcher/state_contracting_view/18949094" TargetMode="External"/>
  <ns0:Relationship Id="rId690" Type="http://schemas.openxmlformats.org/officeDocument/2006/relationships/hyperlink" Target="https://my.zakupivli.pro/remote/dispatcher/state_purchase_view/50910091" TargetMode="External"/>
  <ns0:Relationship Id="rId691" Type="http://schemas.openxmlformats.org/officeDocument/2006/relationships/hyperlink" Target="https://my.zakupivli.pro/remote/dispatcher/state_contracting_view/20260973" TargetMode="External"/>
  <ns0:Relationship Id="rId692" Type="http://schemas.openxmlformats.org/officeDocument/2006/relationships/hyperlink" Target="https://my.zakupivli.pro/remote/dispatcher/state_purchase_view/50839464" TargetMode="External"/>
  <ns0:Relationship Id="rId693" Type="http://schemas.openxmlformats.org/officeDocument/2006/relationships/hyperlink" Target="https://my.zakupivli.pro/remote/dispatcher/state_contracting_view/20230477" TargetMode="External"/>
  <ns0:Relationship Id="rId694" Type="http://schemas.openxmlformats.org/officeDocument/2006/relationships/hyperlink" Target="https://my.zakupivli.pro/remote/dispatcher/state_purchase_view/51270343" TargetMode="External"/>
  <ns0:Relationship Id="rId695" Type="http://schemas.openxmlformats.org/officeDocument/2006/relationships/hyperlink" Target="https://my.zakupivli.pro/remote/dispatcher/state_contracting_view/20573363" TargetMode="External"/>
  <ns0:Relationship Id="rId696" Type="http://schemas.openxmlformats.org/officeDocument/2006/relationships/hyperlink" Target="https://my.zakupivli.pro/remote/dispatcher/state_purchase_view/51552245" TargetMode="External"/>
  <ns0:Relationship Id="rId697" Type="http://schemas.openxmlformats.org/officeDocument/2006/relationships/hyperlink" Target="https://my.zakupivli.pro/remote/dispatcher/state_contracting_view/20695923" TargetMode="External"/>
  <ns0:Relationship Id="rId698" Type="http://schemas.openxmlformats.org/officeDocument/2006/relationships/hyperlink" Target="https://my.zakupivli.pro/remote/dispatcher/state_purchase_view/51791942" TargetMode="External"/>
  <ns0:Relationship Id="rId699" Type="http://schemas.openxmlformats.org/officeDocument/2006/relationships/hyperlink" Target="https://my.zakupivli.pro/remote/dispatcher/state_contracting_view/20799681" TargetMode="External"/>
  <ns0:Relationship Id="rId700" Type="http://schemas.openxmlformats.org/officeDocument/2006/relationships/hyperlink" Target="https://my.zakupivli.pro/remote/dispatcher/state_purchase_view/49427655" TargetMode="External"/>
  <ns0:Relationship Id="rId701" Type="http://schemas.openxmlformats.org/officeDocument/2006/relationships/hyperlink" Target="https://my.zakupivli.pro/remote/dispatcher/state_contracting_view/19362099" TargetMode="External"/>
  <ns0:Relationship Id="rId702" Type="http://schemas.openxmlformats.org/officeDocument/2006/relationships/hyperlink" Target="https://my.zakupivli.pro/remote/dispatcher/state_purchase_view/48834273" TargetMode="External"/>
  <ns0:Relationship Id="rId703" Type="http://schemas.openxmlformats.org/officeDocument/2006/relationships/hyperlink" Target="https://my.zakupivli.pro/remote/dispatcher/state_contracting_view/19107686" TargetMode="External"/>
  <ns0:Relationship Id="rId704" Type="http://schemas.openxmlformats.org/officeDocument/2006/relationships/hyperlink" Target="https://my.zakupivli.pro/remote/dispatcher/state_purchase_view/49024779" TargetMode="External"/>
  <ns0:Relationship Id="rId705" Type="http://schemas.openxmlformats.org/officeDocument/2006/relationships/hyperlink" Target="https://my.zakupivli.pro/remote/dispatcher/state_contracting_view/19189335" TargetMode="External"/>
  <ns0:Relationship Id="rId706" Type="http://schemas.openxmlformats.org/officeDocument/2006/relationships/hyperlink" Target="https://my.zakupivli.pro/remote/dispatcher/state_purchase_view/52894521" TargetMode="External"/>
  <ns0:Relationship Id="rId707" Type="http://schemas.openxmlformats.org/officeDocument/2006/relationships/hyperlink" Target="https://my.zakupivli.pro/remote/dispatcher/state_contracting_view/21279984" TargetMode="External"/>
  <ns0:Relationship Id="rId708" Type="http://schemas.openxmlformats.org/officeDocument/2006/relationships/hyperlink" Target="https://my.zakupivli.pro/remote/dispatcher/state_purchase_view/52694451" TargetMode="External"/>
  <ns0:Relationship Id="rId709" Type="http://schemas.openxmlformats.org/officeDocument/2006/relationships/hyperlink" Target="https://my.zakupivli.pro/remote/dispatcher/state_contracting_view/21192730" TargetMode="External"/>
  <ns0:Relationship Id="rId710" Type="http://schemas.openxmlformats.org/officeDocument/2006/relationships/hyperlink" Target="https://my.zakupivli.pro/remote/dispatcher/state_purchase_view/52889674" TargetMode="External"/>
  <ns0:Relationship Id="rId711" Type="http://schemas.openxmlformats.org/officeDocument/2006/relationships/hyperlink" Target="https://my.zakupivli.pro/remote/dispatcher/state_contracting_view/21277803" TargetMode="External"/>
  <ns0:Relationship Id="rId712" Type="http://schemas.openxmlformats.org/officeDocument/2006/relationships/hyperlink" Target="https://my.zakupivli.pro/remote/dispatcher/state_purchase_view/51381336" TargetMode="External"/>
  <ns0:Relationship Id="rId713" Type="http://schemas.openxmlformats.org/officeDocument/2006/relationships/hyperlink" Target="https://my.zakupivli.pro/remote/dispatcher/state_purchase_lot_view/1300664" TargetMode="External"/>
  <ns0:Relationship Id="rId714" Type="http://schemas.openxmlformats.org/officeDocument/2006/relationships/hyperlink" Target="https://my.zakupivli.pro/remote/dispatcher/state_contracting_view/20734298" TargetMode="External"/>
  <ns0:Relationship Id="rId715" Type="http://schemas.openxmlformats.org/officeDocument/2006/relationships/hyperlink" Target="https://my.zakupivli.pro/remote/dispatcher/state_purchase_view/54043339" TargetMode="External"/>
  <ns0:Relationship Id="rId716" Type="http://schemas.openxmlformats.org/officeDocument/2006/relationships/hyperlink" Target="https://my.zakupivli.pro/remote/dispatcher/state_contracting_view/21771564" TargetMode="External"/>
  <ns0:Relationship Id="rId717" Type="http://schemas.openxmlformats.org/officeDocument/2006/relationships/hyperlink" Target="https://my.zakupivli.pro/remote/dispatcher/state_purchase_view/54458955" TargetMode="External"/>
  <ns0:Relationship Id="rId718" Type="http://schemas.openxmlformats.org/officeDocument/2006/relationships/hyperlink" Target="https://my.zakupivli.pro/remote/dispatcher/state_contracting_view/21951810" TargetMode="External"/>
  <ns0:Relationship Id="rId719" Type="http://schemas.openxmlformats.org/officeDocument/2006/relationships/hyperlink" Target="https://my.zakupivli.pro/remote/dispatcher/state_purchase_view/55021684" TargetMode="External"/>
  <ns0:Relationship Id="rId720" Type="http://schemas.openxmlformats.org/officeDocument/2006/relationships/hyperlink" Target="https://my.zakupivli.pro/remote/dispatcher/state_contracting_view/22192584" TargetMode="External"/>
  <ns0:Relationship Id="rId721" Type="http://schemas.openxmlformats.org/officeDocument/2006/relationships/hyperlink" Target="https://my.zakupivli.pro/remote/dispatcher/state_purchase_view/54809806" TargetMode="External"/>
  <ns0:Relationship Id="rId722" Type="http://schemas.openxmlformats.org/officeDocument/2006/relationships/hyperlink" Target="https://my.zakupivli.pro/remote/dispatcher/state_contracting_view/22101764" TargetMode="External"/>
  <ns0:Relationship Id="rId723" Type="http://schemas.openxmlformats.org/officeDocument/2006/relationships/hyperlink" Target="https://my.zakupivli.pro/remote/dispatcher/state_purchase_view/54902250" TargetMode="External"/>
  <ns0:Relationship Id="rId724" Type="http://schemas.openxmlformats.org/officeDocument/2006/relationships/hyperlink" Target="https://my.zakupivli.pro/remote/dispatcher/state_contracting_view/22141487" TargetMode="External"/>
  <ns0:Relationship Id="rId725" Type="http://schemas.openxmlformats.org/officeDocument/2006/relationships/hyperlink" Target="https://my.zakupivli.pro/remote/dispatcher/state_purchase_view/56146328" TargetMode="External"/>
  <ns0:Relationship Id="rId726" Type="http://schemas.openxmlformats.org/officeDocument/2006/relationships/hyperlink" Target="https://my.zakupivli.pro/remote/dispatcher/state_contracting_view/22681800" TargetMode="External"/>
  <ns0:Relationship Id="rId727" Type="http://schemas.openxmlformats.org/officeDocument/2006/relationships/hyperlink" Target="https://my.zakupivli.pro/remote/dispatcher/state_purchase_view/53576773" TargetMode="External"/>
  <ns0:Relationship Id="rId728" Type="http://schemas.openxmlformats.org/officeDocument/2006/relationships/hyperlink" Target="https://my.zakupivli.pro/remote/dispatcher/state_purchase_lot_view/1402714" TargetMode="External"/>
  <ns0:Relationship Id="rId729" Type="http://schemas.openxmlformats.org/officeDocument/2006/relationships/hyperlink" Target="https://my.zakupivli.pro/remote/dispatcher/state_contracting_view/21672775" TargetMode="External"/>
  <ns0:Relationship Id="rId730" Type="http://schemas.openxmlformats.org/officeDocument/2006/relationships/hyperlink" Target="https://my.zakupivli.pro/remote/dispatcher/state_purchase_view/47800252" TargetMode="External"/>
  <ns0:Relationship Id="rId731" Type="http://schemas.openxmlformats.org/officeDocument/2006/relationships/hyperlink" Target="https://my.zakupivli.pro/remote/dispatcher/state_purchase_lot_view/1154475" TargetMode="External"/>
  <ns0:Relationship Id="rId732" Type="http://schemas.openxmlformats.org/officeDocument/2006/relationships/hyperlink" Target="https://my.zakupivli.pro/remote/dispatcher/state_contracting_view/18941080" TargetMode="External"/>
  <ns0:Relationship Id="rId733" Type="http://schemas.openxmlformats.org/officeDocument/2006/relationships/hyperlink" Target="https://my.zakupivli.pro/remote/dispatcher/state_purchase_view/53846514" TargetMode="External"/>
  <ns0:Relationship Id="rId734" Type="http://schemas.openxmlformats.org/officeDocument/2006/relationships/hyperlink" Target="https://my.zakupivli.pro/remote/dispatcher/state_contracting_view/21686379" TargetMode="External"/>
  <ns0:Relationship Id="rId735" Type="http://schemas.openxmlformats.org/officeDocument/2006/relationships/hyperlink" Target="https://my.zakupivli.pro/remote/dispatcher/state_purchase_view/51591647" TargetMode="External"/>
  <ns0:Relationship Id="rId736" Type="http://schemas.openxmlformats.org/officeDocument/2006/relationships/hyperlink" Target="https://my.zakupivli.pro/remote/dispatcher/state_contracting_view/20712834" TargetMode="External"/>
  <ns0:Relationship Id="rId737" Type="http://schemas.openxmlformats.org/officeDocument/2006/relationships/hyperlink" Target="https://my.zakupivli.pro/remote/dispatcher/state_purchase_view/48495716" TargetMode="External"/>
  <ns0:Relationship Id="rId738" Type="http://schemas.openxmlformats.org/officeDocument/2006/relationships/hyperlink" Target="https://my.zakupivli.pro/remote/dispatcher/state_contracting_view/18962780" TargetMode="External"/>
  <ns0:Relationship Id="rId739" Type="http://schemas.openxmlformats.org/officeDocument/2006/relationships/hyperlink" Target="https://my.zakupivli.pro/remote/dispatcher/state_purchase_view/48197851" TargetMode="External"/>
  <ns0:Relationship Id="rId740" Type="http://schemas.openxmlformats.org/officeDocument/2006/relationships/hyperlink" Target="https://my.zakupivli.pro/remote/dispatcher/state_contracting_view/18842504" TargetMode="External"/>
  <ns0:Relationship Id="rId741" Type="http://schemas.openxmlformats.org/officeDocument/2006/relationships/hyperlink" Target="https://my.zakupivli.pro/remote/dispatcher/state_purchase_view/48217774" TargetMode="External"/>
  <ns0:Relationship Id="rId742" Type="http://schemas.openxmlformats.org/officeDocument/2006/relationships/hyperlink" Target="https://my.zakupivli.pro/remote/dispatcher/state_contracting_view/18851006" TargetMode="External"/>
  <ns0:Relationship Id="rId743" Type="http://schemas.openxmlformats.org/officeDocument/2006/relationships/hyperlink" Target="https://my.zakupivli.pro/remote/dispatcher/state_purchase_view/48341981" TargetMode="External"/>
  <ns0:Relationship Id="rId744" Type="http://schemas.openxmlformats.org/officeDocument/2006/relationships/hyperlink" Target="https://my.zakupivli.pro/remote/dispatcher/state_contracting_view/18899485" TargetMode="External"/>
  <ns0:Relationship Id="rId745" Type="http://schemas.openxmlformats.org/officeDocument/2006/relationships/hyperlink" Target="https://my.zakupivli.pro/remote/dispatcher/state_purchase_view/48582359" TargetMode="External"/>
  <ns0:Relationship Id="rId746" Type="http://schemas.openxmlformats.org/officeDocument/2006/relationships/hyperlink" Target="https://my.zakupivli.pro/remote/dispatcher/state_contracting_view/18999423" TargetMode="External"/>
  <ns0:Relationship Id="rId747" Type="http://schemas.openxmlformats.org/officeDocument/2006/relationships/hyperlink" Target="https://my.zakupivli.pro/remote/dispatcher/state_purchase_view/48889709" TargetMode="External"/>
  <ns0:Relationship Id="rId748" Type="http://schemas.openxmlformats.org/officeDocument/2006/relationships/hyperlink" Target="https://my.zakupivli.pro/remote/dispatcher/state_contracting_view/19131418" TargetMode="External"/>
  <ns0:Relationship Id="rId749" Type="http://schemas.openxmlformats.org/officeDocument/2006/relationships/hyperlink" Target="https://my.zakupivli.pro/remote/dispatcher/state_purchase_view/49228700" TargetMode="External"/>
  <ns0:Relationship Id="rId750" Type="http://schemas.openxmlformats.org/officeDocument/2006/relationships/hyperlink" Target="https://my.zakupivli.pro/remote/dispatcher/state_contracting_view/19276738" TargetMode="External"/>
  <ns0:Relationship Id="rId751" Type="http://schemas.openxmlformats.org/officeDocument/2006/relationships/hyperlink" Target="https://my.zakupivli.pro/remote/dispatcher/state_purchase_view/49230845" TargetMode="External"/>
  <ns0:Relationship Id="rId752" Type="http://schemas.openxmlformats.org/officeDocument/2006/relationships/hyperlink" Target="https://my.zakupivli.pro/remote/dispatcher/state_contracting_view/19277458" TargetMode="External"/>
  <ns0:Relationship Id="rId753" Type="http://schemas.openxmlformats.org/officeDocument/2006/relationships/hyperlink" Target="https://my.zakupivli.pro/remote/dispatcher/state_purchase_view/49399890" TargetMode="External"/>
  <ns0:Relationship Id="rId754" Type="http://schemas.openxmlformats.org/officeDocument/2006/relationships/hyperlink" Target="https://my.zakupivli.pro/remote/dispatcher/state_contracting_view/19350034" TargetMode="External"/>
  <ns0:Relationship Id="rId755" Type="http://schemas.openxmlformats.org/officeDocument/2006/relationships/hyperlink" Target="https://my.zakupivli.pro/remote/dispatcher/state_purchase_view/49424541" TargetMode="External"/>
  <ns0:Relationship Id="rId756" Type="http://schemas.openxmlformats.org/officeDocument/2006/relationships/hyperlink" Target="https://my.zakupivli.pro/remote/dispatcher/state_contracting_view/19360632" TargetMode="External"/>
  <ns0:Relationship Id="rId757" Type="http://schemas.openxmlformats.org/officeDocument/2006/relationships/hyperlink" Target="https://my.zakupivli.pro/remote/dispatcher/state_purchase_view/49273195" TargetMode="External"/>
  <ns0:Relationship Id="rId758" Type="http://schemas.openxmlformats.org/officeDocument/2006/relationships/hyperlink" Target="https://my.zakupivli.pro/remote/dispatcher/state_contracting_view/19296030" TargetMode="External"/>
  <ns0:Relationship Id="rId759" Type="http://schemas.openxmlformats.org/officeDocument/2006/relationships/hyperlink" Target="https://my.zakupivli.pro/remote/dispatcher/state_purchase_view/49349341" TargetMode="External"/>
  <ns0:Relationship Id="rId760" Type="http://schemas.openxmlformats.org/officeDocument/2006/relationships/hyperlink" Target="https://my.zakupivli.pro/remote/dispatcher/state_contracting_view/19328775" TargetMode="External"/>
  <ns0:Relationship Id="rId761" Type="http://schemas.openxmlformats.org/officeDocument/2006/relationships/hyperlink" Target="https://my.zakupivli.pro/remote/dispatcher/state_purchase_view/50225081" TargetMode="External"/>
  <ns0:Relationship Id="rId762" Type="http://schemas.openxmlformats.org/officeDocument/2006/relationships/hyperlink" Target="https://my.zakupivli.pro/remote/dispatcher/state_contracting_view/19706097" TargetMode="External"/>
  <ns0:Relationship Id="rId763" Type="http://schemas.openxmlformats.org/officeDocument/2006/relationships/hyperlink" Target="https://my.zakupivli.pro/remote/dispatcher/state_purchase_view/49009442" TargetMode="External"/>
  <ns0:Relationship Id="rId764" Type="http://schemas.openxmlformats.org/officeDocument/2006/relationships/hyperlink" Target="https://my.zakupivli.pro/remote/dispatcher/state_contracting_view/19188213" TargetMode="External"/>
  <ns0:Relationship Id="rId765" Type="http://schemas.openxmlformats.org/officeDocument/2006/relationships/hyperlink" Target="https://my.zakupivli.pro/remote/dispatcher/state_purchase_view/51067034" TargetMode="External"/>
  <ns0:Relationship Id="rId766" Type="http://schemas.openxmlformats.org/officeDocument/2006/relationships/hyperlink" Target="https://my.zakupivli.pro/remote/dispatcher/state_contracting_view/20328166" TargetMode="External"/>
  <ns0:Relationship Id="rId767" Type="http://schemas.openxmlformats.org/officeDocument/2006/relationships/hyperlink" Target="https://my.zakupivli.pro/remote/dispatcher/state_purchase_view/52894324" TargetMode="External"/>
  <ns0:Relationship Id="rId768" Type="http://schemas.openxmlformats.org/officeDocument/2006/relationships/hyperlink" Target="https://my.zakupivli.pro/remote/dispatcher/state_contracting_view/21279892" TargetMode="External"/>
  <ns0:Relationship Id="rId769" Type="http://schemas.openxmlformats.org/officeDocument/2006/relationships/hyperlink" Target="https://my.zakupivli.pro/remote/dispatcher/state_purchase_view/52855211" TargetMode="External"/>
  <ns0:Relationship Id="rId770" Type="http://schemas.openxmlformats.org/officeDocument/2006/relationships/hyperlink" Target="https://my.zakupivli.pro/remote/dispatcher/state_contracting_view/21262712" TargetMode="External"/>
  <ns0:Relationship Id="rId771" Type="http://schemas.openxmlformats.org/officeDocument/2006/relationships/hyperlink" Target="https://my.zakupivli.pro/remote/dispatcher/state_purchase_view/54344398" TargetMode="External"/>
  <ns0:Relationship Id="rId772" Type="http://schemas.openxmlformats.org/officeDocument/2006/relationships/hyperlink" Target="https://my.zakupivli.pro/remote/dispatcher/state_contracting_view/21901905" TargetMode="External"/>
  <ns0:Relationship Id="rId773" Type="http://schemas.openxmlformats.org/officeDocument/2006/relationships/hyperlink" Target="https://my.zakupivli.pro/remote/dispatcher/state_purchase_view/52583340" TargetMode="External"/>
  <ns0:Relationship Id="rId774" Type="http://schemas.openxmlformats.org/officeDocument/2006/relationships/hyperlink" Target="https://my.zakupivli.pro/remote/dispatcher/state_purchase_lot_view/1356863" TargetMode="External"/>
  <ns0:Relationship Id="rId775" Type="http://schemas.openxmlformats.org/officeDocument/2006/relationships/hyperlink" Target="https://my.zakupivli.pro/remote/dispatcher/state_contracting_view/21264174" TargetMode="External"/>
  <ns0:Relationship Id="rId776" Type="http://schemas.openxmlformats.org/officeDocument/2006/relationships/hyperlink" Target="https://my.zakupivli.pro/remote/dispatcher/state_purchase_view/54342818" TargetMode="External"/>
  <ns0:Relationship Id="rId777" Type="http://schemas.openxmlformats.org/officeDocument/2006/relationships/hyperlink" Target="https://my.zakupivli.pro/remote/dispatcher/state_contracting_view/21901280" TargetMode="External"/>
  <ns0:Relationship Id="rId778" Type="http://schemas.openxmlformats.org/officeDocument/2006/relationships/hyperlink" Target="https://my.zakupivli.pro/remote/dispatcher/state_purchase_view/51169802" TargetMode="External"/>
  <ns0:Relationship Id="rId779" Type="http://schemas.openxmlformats.org/officeDocument/2006/relationships/hyperlink" Target="https://my.zakupivli.pro/remote/dispatcher/state_contracting_view/20529400" TargetMode="External"/>
  <ns0:Relationship Id="rId780" Type="http://schemas.openxmlformats.org/officeDocument/2006/relationships/hyperlink" Target="https://my.zakupivli.pro/remote/dispatcher/state_purchase_view/50901220" TargetMode="External"/>
  <ns0:Relationship Id="rId781" Type="http://schemas.openxmlformats.org/officeDocument/2006/relationships/hyperlink" Target="https://my.zakupivli.pro/remote/dispatcher/state_contracting_view/20257202" TargetMode="External"/>
  <ns0:Relationship Id="rId782" Type="http://schemas.openxmlformats.org/officeDocument/2006/relationships/hyperlink" Target="https://my.zakupivli.pro/remote/dispatcher/state_purchase_view/50899119" TargetMode="External"/>
  <ns0:Relationship Id="rId783" Type="http://schemas.openxmlformats.org/officeDocument/2006/relationships/hyperlink" Target="https://my.zakupivli.pro/remote/dispatcher/state_contracting_view/20256263" TargetMode="External"/>
  <ns0:Relationship Id="rId784" Type="http://schemas.openxmlformats.org/officeDocument/2006/relationships/hyperlink" Target="https://my.zakupivli.pro/remote/dispatcher/state_purchase_view/51337251" TargetMode="External"/>
  <ns0:Relationship Id="rId785" Type="http://schemas.openxmlformats.org/officeDocument/2006/relationships/hyperlink" Target="https://my.zakupivli.pro/remote/dispatcher/state_contracting_view/20602999" TargetMode="External"/>
  <ns0:Relationship Id="rId786" Type="http://schemas.openxmlformats.org/officeDocument/2006/relationships/hyperlink" Target="https://my.zakupivli.pro/remote/dispatcher/state_purchase_view/50640083" TargetMode="External"/>
  <ns0:Relationship Id="rId787" Type="http://schemas.openxmlformats.org/officeDocument/2006/relationships/hyperlink" Target="https://my.zakupivli.pro/remote/dispatcher/state_contracting_view/19890880" TargetMode="External"/>
  <ns0:Relationship Id="rId788" Type="http://schemas.openxmlformats.org/officeDocument/2006/relationships/hyperlink" Target="https://my.zakupivli.pro/remote/dispatcher/state_purchase_view/50323874" TargetMode="External"/>
  <ns0:Relationship Id="rId789" Type="http://schemas.openxmlformats.org/officeDocument/2006/relationships/hyperlink" Target="https://my.zakupivli.pro/remote/dispatcher/state_contracting_view/19749433" TargetMode="External"/>
  <ns0:Relationship Id="rId790" Type="http://schemas.openxmlformats.org/officeDocument/2006/relationships/hyperlink" Target="https://my.zakupivli.pro/remote/dispatcher/state_purchase_view/53607493" TargetMode="External"/>
  <ns0:Relationship Id="rId791" Type="http://schemas.openxmlformats.org/officeDocument/2006/relationships/hyperlink" Target="https://my.zakupivli.pro/remote/dispatcher/state_contracting_view/21583732" TargetMode="External"/>
  <ns0:Relationship Id="rId792" Type="http://schemas.openxmlformats.org/officeDocument/2006/relationships/hyperlink" Target="https://my.zakupivli.pro/remote/dispatcher/state_purchase_view/52246584" TargetMode="External"/>
  <ns0:Relationship Id="rId793" Type="http://schemas.openxmlformats.org/officeDocument/2006/relationships/hyperlink" Target="https://my.zakupivli.pro/remote/dispatcher/state_purchase_lot_view/1340430" TargetMode="External"/>
  <ns0:Relationship Id="rId794" Type="http://schemas.openxmlformats.org/officeDocument/2006/relationships/hyperlink" Target="https://my.zakupivli.pro/remote/dispatcher/state_contracting_view/21126482" TargetMode="External"/>
  <ns0:Relationship Id="rId795" Type="http://schemas.openxmlformats.org/officeDocument/2006/relationships/hyperlink" Target="https://my.zakupivli.pro/remote/dispatcher/state_purchase_view/53057531" TargetMode="External"/>
  <ns0:Relationship Id="rId796" Type="http://schemas.openxmlformats.org/officeDocument/2006/relationships/hyperlink" Target="https://my.zakupivli.pro/remote/dispatcher/state_contracting_view/21350813" TargetMode="External"/>
  <ns0:Relationship Id="rId797" Type="http://schemas.openxmlformats.org/officeDocument/2006/relationships/hyperlink" Target="https://my.zakupivli.pro/remote/dispatcher/state_purchase_view/52841504" TargetMode="External"/>
  <ns0:Relationship Id="rId798" Type="http://schemas.openxmlformats.org/officeDocument/2006/relationships/hyperlink" Target="https://my.zakupivli.pro/remote/dispatcher/state_contracting_view/21256377" TargetMode="External"/>
  <ns0:Relationship Id="rId799" Type="http://schemas.openxmlformats.org/officeDocument/2006/relationships/hyperlink" Target="https://my.zakupivli.pro/remote/dispatcher/state_purchase_view/52507484" TargetMode="External"/>
  <ns0:Relationship Id="rId800" Type="http://schemas.openxmlformats.org/officeDocument/2006/relationships/hyperlink" Target="https://my.zakupivli.pro/remote/dispatcher/state_purchase_lot_view/1353657" TargetMode="External"/>
  <ns0:Relationship Id="rId801" Type="http://schemas.openxmlformats.org/officeDocument/2006/relationships/hyperlink" Target="https://my.zakupivli.pro/remote/dispatcher/state_contracting_view/21180964" TargetMode="External"/>
  <ns0:Relationship Id="rId802" Type="http://schemas.openxmlformats.org/officeDocument/2006/relationships/hyperlink" Target="https://my.zakupivli.pro/remote/dispatcher/state_purchase_view/52862989" TargetMode="External"/>
  <ns0:Relationship Id="rId803" Type="http://schemas.openxmlformats.org/officeDocument/2006/relationships/hyperlink" Target="https://my.zakupivli.pro/remote/dispatcher/state_contracting_view/21266221" TargetMode="External"/>
  <ns0:Relationship Id="rId804" Type="http://schemas.openxmlformats.org/officeDocument/2006/relationships/hyperlink" Target="https://my.zakupivli.pro/remote/dispatcher/state_purchase_view/52462255" TargetMode="External"/>
  <ns0:Relationship Id="rId805" Type="http://schemas.openxmlformats.org/officeDocument/2006/relationships/hyperlink" Target="https://my.zakupivli.pro/remote/dispatcher/state_contracting_view/21092351" TargetMode="External"/>
  <ns0:Relationship Id="rId806" Type="http://schemas.openxmlformats.org/officeDocument/2006/relationships/hyperlink" Target="https://my.zakupivli.pro/remote/dispatcher/state_purchase_view/50902984" TargetMode="External"/>
  <ns0:Relationship Id="rId807" Type="http://schemas.openxmlformats.org/officeDocument/2006/relationships/hyperlink" Target="https://my.zakupivli.pro/remote/dispatcher/state_purchase_lot_view/1279748" TargetMode="External"/>
  <ns0:Relationship Id="rId808" Type="http://schemas.openxmlformats.org/officeDocument/2006/relationships/hyperlink" Target="https://my.zakupivli.pro/remote/dispatcher/state_contracting_view/20579216" TargetMode="External"/>
  <ns0:Relationship Id="rId809" Type="http://schemas.openxmlformats.org/officeDocument/2006/relationships/hyperlink" Target="https://my.zakupivli.pro/remote/dispatcher/state_purchase_view/53480780" TargetMode="External"/>
  <ns0:Relationship Id="rId810" Type="http://schemas.openxmlformats.org/officeDocument/2006/relationships/hyperlink" Target="https://my.zakupivli.pro/remote/dispatcher/state_purchase_lot_view/1398569" TargetMode="External"/>
  <ns0:Relationship Id="rId811" Type="http://schemas.openxmlformats.org/officeDocument/2006/relationships/hyperlink" Target="https://my.zakupivli.pro/remote/dispatcher/state_contracting_view/21640672" TargetMode="External"/>
  <ns0:Relationship Id="rId812" Type="http://schemas.openxmlformats.org/officeDocument/2006/relationships/hyperlink" Target="https://my.zakupivli.pro/remote/dispatcher/state_purchase_view/54366264" TargetMode="External"/>
  <ns0:Relationship Id="rId813" Type="http://schemas.openxmlformats.org/officeDocument/2006/relationships/hyperlink" Target="https://my.zakupivli.pro/remote/dispatcher/state_purchase_lot_view/1438319" TargetMode="External"/>
  <ns0:Relationship Id="rId814" Type="http://schemas.openxmlformats.org/officeDocument/2006/relationships/hyperlink" Target="https://my.zakupivli.pro/remote/dispatcher/state_contracting_view/22004386" TargetMode="External"/>
  <ns0:Relationship Id="rId815" Type="http://schemas.openxmlformats.org/officeDocument/2006/relationships/hyperlink" Target="https://my.zakupivli.pro/remote/dispatcher/state_purchase_view/54313026" TargetMode="External"/>
  <ns0:Relationship Id="rId816" Type="http://schemas.openxmlformats.org/officeDocument/2006/relationships/hyperlink" Target="https://my.zakupivli.pro/remote/dispatcher/state_purchase_lot_view/1436115" TargetMode="External"/>
  <ns0:Relationship Id="rId817" Type="http://schemas.openxmlformats.org/officeDocument/2006/relationships/hyperlink" Target="https://my.zakupivli.pro/remote/dispatcher/state_contracting_view/22395083" TargetMode="External"/>
  <ns0:Relationship Id="rId818" Type="http://schemas.openxmlformats.org/officeDocument/2006/relationships/hyperlink" Target="https://my.zakupivli.pro/remote/dispatcher/state_purchase_view/48411794" TargetMode="External"/>
  <ns0:Relationship Id="rId819" Type="http://schemas.openxmlformats.org/officeDocument/2006/relationships/hyperlink" Target="https://my.zakupivli.pro/remote/dispatcher/state_purchase_lot_view/1180059" TargetMode="External"/>
  <ns0:Relationship Id="rId820" Type="http://schemas.openxmlformats.org/officeDocument/2006/relationships/hyperlink" Target="https://my.zakupivli.pro/remote/dispatcher/state_contracting_view/19195939" TargetMode="External"/>
  <ns0:Relationship Id="rId821" Type="http://schemas.openxmlformats.org/officeDocument/2006/relationships/hyperlink" Target="https://my.zakupivli.pro/remote/dispatcher/state_purchase_view/50333914" TargetMode="External"/>
  <ns0:Relationship Id="rId822" Type="http://schemas.openxmlformats.org/officeDocument/2006/relationships/hyperlink" Target="https://my.zakupivli.pro/remote/dispatcher/state_contracting_view/19753907" TargetMode="External"/>
  <ns0:Relationship Id="rId823" Type="http://schemas.openxmlformats.org/officeDocument/2006/relationships/hyperlink" Target="https://my.zakupivli.pro/remote/dispatcher/state_purchase_view/53048027" TargetMode="External"/>
  <ns0:Relationship Id="rId824" Type="http://schemas.openxmlformats.org/officeDocument/2006/relationships/hyperlink" Target="https://my.zakupivli.pro/remote/dispatcher/state_contracting_view/21346820" TargetMode="External"/>
  <ns0:Relationship Id="rId825" Type="http://schemas.openxmlformats.org/officeDocument/2006/relationships/hyperlink" Target="https://my.zakupivli.pro/remote/dispatcher/state_purchase_view/53281530" TargetMode="External"/>
  <ns0:Relationship Id="rId826" Type="http://schemas.openxmlformats.org/officeDocument/2006/relationships/hyperlink" Target="https://my.zakupivli.pro/remote/dispatcher/state_purchase_lot_view/1388959" TargetMode="External"/>
  <ns0:Relationship Id="rId827" Type="http://schemas.openxmlformats.org/officeDocument/2006/relationships/hyperlink" Target="https://my.zakupivli.pro/remote/dispatcher/state_contracting_view/21522977" TargetMode="External"/>
  <ns0:Relationship Id="rId828" Type="http://schemas.openxmlformats.org/officeDocument/2006/relationships/hyperlink" Target="https://my.zakupivli.pro/remote/dispatcher/state_purchase_view/50512862" TargetMode="External"/>
  <ns0:Relationship Id="rId829" Type="http://schemas.openxmlformats.org/officeDocument/2006/relationships/hyperlink" Target="https://my.zakupivli.pro/remote/dispatcher/state_contracting_view/19834109" TargetMode="External"/>
  <ns0:Relationship Id="rId830" Type="http://schemas.openxmlformats.org/officeDocument/2006/relationships/hyperlink" Target="https://my.zakupivli.pro/remote/dispatcher/state_purchase_view/51170304" TargetMode="External"/>
  <ns0:Relationship Id="rId831" Type="http://schemas.openxmlformats.org/officeDocument/2006/relationships/hyperlink" Target="https://my.zakupivli.pro/remote/dispatcher/state_contracting_view/20529625" TargetMode="External"/>
  <ns0:Relationship Id="rId832" Type="http://schemas.openxmlformats.org/officeDocument/2006/relationships/hyperlink" Target="https://my.zakupivli.pro/remote/dispatcher/state_purchase_view/48490384" TargetMode="External"/>
  <ns0:Relationship Id="rId833" Type="http://schemas.openxmlformats.org/officeDocument/2006/relationships/hyperlink" Target="https://my.zakupivli.pro/remote/dispatcher/state_contracting_view/18960341" TargetMode="External"/>
  <ns0:Relationship Id="rId834" Type="http://schemas.openxmlformats.org/officeDocument/2006/relationships/hyperlink" Target="https://my.zakupivli.pro/remote/dispatcher/state_purchase_view/49791642" TargetMode="External"/>
  <ns0:Relationship Id="rId835" Type="http://schemas.openxmlformats.org/officeDocument/2006/relationships/hyperlink" Target="https://my.zakupivli.pro/remote/dispatcher/state_contracting_view/19518253" TargetMode="External"/>
  <ns0:Relationship Id="rId836" Type="http://schemas.openxmlformats.org/officeDocument/2006/relationships/hyperlink" Target="https://my.zakupivli.pro/remote/dispatcher/state_purchase_view/48968712" TargetMode="External"/>
  <ns0:Relationship Id="rId837" Type="http://schemas.openxmlformats.org/officeDocument/2006/relationships/hyperlink" Target="https://my.zakupivli.pro/remote/dispatcher/state_contracting_view/19165622" TargetMode="External"/>
  <ns0:Relationship Id="rId838" Type="http://schemas.openxmlformats.org/officeDocument/2006/relationships/hyperlink" Target="https://my.zakupivli.pro/remote/dispatcher/state_purchase_view/48939182" TargetMode="External"/>
  <ns0:Relationship Id="rId839" Type="http://schemas.openxmlformats.org/officeDocument/2006/relationships/hyperlink" Target="https://my.zakupivli.pro/remote/dispatcher/state_contracting_view/19152871" TargetMode="External"/>
  <ns0:Relationship Id="rId840" Type="http://schemas.openxmlformats.org/officeDocument/2006/relationships/hyperlink" Target="https://my.zakupivli.pro/remote/dispatcher/state_purchase_view/48921040" TargetMode="External"/>
  <ns0:Relationship Id="rId841" Type="http://schemas.openxmlformats.org/officeDocument/2006/relationships/hyperlink" Target="https://my.zakupivli.pro/remote/dispatcher/state_contracting_view/19145254" TargetMode="External"/>
</ns0:Relationships>

</file>

<file path=xl/worksheets/sheet1.xml><?xml version="1.0" encoding="utf-8"?>
<worksheet xmlns="http://schemas.openxmlformats.org/spreadsheetml/2006/main" xmlns:r="http://schemas.openxmlformats.org/officeDocument/2006/relationships">
  <sheetPr>
    <outlinePr summaryBelow="1" summaryRight="1"/>
  </sheetPr>
  <dimension ref="A1:P392"/>
  <sheetViews>
    <sheetView workbookViewId="0">
      <pane ySplit="4" topLeftCell="A5" activePane="bottomLeft" state="frozen"/>
      <selection pane="bottomLeft" activeCell="A1" sqref="A1"/>
    </sheetView>
  </sheetViews>
  <sheetFormatPr defaultRowHeight="15" baseColWidth="10"/>
  <cols>
    <col width="5" min="1" max="1"/>
    <col width="25" min="2" max="2"/>
    <col width="25" min="3" max="3"/>
    <col width="25" min="4" max="4"/>
    <col width="60" min="5" max="5"/>
    <col width="35" min="6" max="6"/>
    <col width="35" min="7" max="7"/>
    <col width="35" min="8" max="8"/>
    <col width="30" min="9" max="9"/>
    <col width="30" min="10" max="10"/>
    <col width="15" min="11" max="11"/>
    <col width="15" min="12" max="12"/>
    <col width="15" min="13" max="13"/>
    <col width="10" min="14" max="14"/>
    <col width="10" min="15" max="15"/>
    <col width="10" min="16" max="16"/>
  </cols>
  <sheetData>
    <row r="1" spans="1:16">
      <c r="A1" t="s" s="1">
        <v>2008</v>
      </c>
    </row>
    <row r="2" spans="1:16">
      <c r="A2" t="s" s="2">
        <v>1660</v>
      </c>
    </row>
    <row r="4" spans="1:16">
      <c r="A4" t="s" s="3">
        <v>2111</v>
      </c>
      <c r="B4" t="s" s="3">
        <v>1666</v>
      </c>
      <c r="C4" t="s" s="3">
        <v>1667</v>
      </c>
      <c r="D4" t="s" s="3">
        <v>1499</v>
      </c>
      <c r="E4" t="s" s="3">
        <v>1665</v>
      </c>
      <c r="F4" t="s" s="3">
        <v>1973</v>
      </c>
      <c r="G4" t="s" s="3">
        <v>1849</v>
      </c>
      <c r="H4" t="s" s="3">
        <v>1748</v>
      </c>
      <c r="I4" t="s" s="3">
        <v>1963</v>
      </c>
      <c r="J4" t="s" s="3">
        <v>1833</v>
      </c>
      <c r="K4" t="s" s="3">
        <v>1662</v>
      </c>
      <c r="L4" t="s" s="3">
        <v>1797</v>
      </c>
      <c r="M4" t="s" s="3">
        <v>1872</v>
      </c>
      <c r="N4" t="s" s="3">
        <v>1715</v>
      </c>
      <c r="O4" t="s" s="3">
        <v>1714</v>
      </c>
      <c r="P4" t="s" s="3">
        <v>1870</v>
      </c>
    </row>
    <row r="5" spans="1:16">
      <c r="A5" t="n" s="4">
        <v>1</v>
      </c>
      <c r="B5" s="2">
        <f>HYPERLINK("https://my.zakupivli.pro/remote/dispatcher/state_purchase_view/54931303", "UA-2024-11-19-009759-a")</f>
        <v/>
      </c>
      <c r="C5" t="s" s="2">
        <v>1795</v>
      </c>
      <c r="D5" s="2">
        <f>HYPERLINK("https://my.zakupivli.pro/remote/dispatcher/state_contracting_view/22153926", "UA-2024-11-19-009759-a-b1")</f>
        <v/>
      </c>
      <c r="E5" t="s" s="1">
        <v>1583</v>
      </c>
      <c r="F5" t="s" s="1">
        <v>1243</v>
      </c>
      <c r="G5" t="s" s="1">
        <v>2101</v>
      </c>
      <c r="H5" t="s" s="1">
        <v>1241</v>
      </c>
      <c r="I5" t="s" s="1">
        <v>1729</v>
      </c>
      <c r="J5" t="s" s="1">
        <v>1669</v>
      </c>
      <c r="K5" t="s" s="1">
        <v>294</v>
      </c>
      <c r="L5" t="s" s="1">
        <v>40</v>
      </c>
      <c r="M5" t="n" s="4">
        <v>713481</v>
      </c>
      <c r="N5" t="n" s="6">
        <v>45614.0</v>
      </c>
      <c r="O5" t="n" s="6">
        <v>46173.0</v>
      </c>
      <c r="P5" t="s" s="1">
        <v>2009</v>
      </c>
    </row>
    <row r="6" spans="1:16">
      <c r="A6" t="n" s="4">
        <v>2</v>
      </c>
      <c r="B6" s="2">
        <f>HYPERLINK("https://my.zakupivli.pro/remote/dispatcher/state_purchase_view/56326408", "UA-2025-01-02-004562-a")</f>
        <v/>
      </c>
      <c r="C6" t="s" s="2">
        <v>1795</v>
      </c>
      <c r="D6" s="2">
        <f>HYPERLINK("https://my.zakupivli.pro/remote/dispatcher/state_contracting_view/22763651", "UA-2025-01-02-004562-a-c1")</f>
        <v/>
      </c>
      <c r="E6" t="s" s="1">
        <v>1658</v>
      </c>
      <c r="F6" t="s" s="1">
        <v>417</v>
      </c>
      <c r="G6" t="s" s="1">
        <v>1779</v>
      </c>
      <c r="H6" t="s" s="1">
        <v>418</v>
      </c>
      <c r="I6" t="s" s="1">
        <v>1729</v>
      </c>
      <c r="J6" t="s" s="1">
        <v>1903</v>
      </c>
      <c r="K6" t="s" s="1">
        <v>818</v>
      </c>
      <c r="L6" t="s" s="1">
        <v>1265</v>
      </c>
      <c r="M6" t="n" s="7">
        <v>102249.9</v>
      </c>
      <c r="N6" t="n" s="6">
        <v>45657.0</v>
      </c>
      <c r="O6" t="n" s="6">
        <v>46022.0</v>
      </c>
      <c r="P6" t="s" s="1">
        <v>2009</v>
      </c>
    </row>
    <row r="7" spans="1:16">
      <c r="A7" t="n" s="4">
        <v>3</v>
      </c>
      <c r="B7" s="2">
        <f>HYPERLINK("https://my.zakupivli.pro/remote/dispatcher/state_purchase_view/56141855", "UA-2024-12-24-014076-a")</f>
        <v/>
      </c>
      <c r="C7" t="s" s="2">
        <v>1795</v>
      </c>
      <c r="D7" s="2">
        <f>HYPERLINK("https://my.zakupivli.pro/remote/dispatcher/state_contracting_view/22679893", "UA-2024-12-24-014076-a-c1")</f>
        <v/>
      </c>
      <c r="E7" t="s" s="1">
        <v>1422</v>
      </c>
      <c r="F7" t="s" s="1">
        <v>1364</v>
      </c>
      <c r="G7" t="s" s="1">
        <v>2059</v>
      </c>
      <c r="H7" t="s" s="1">
        <v>1365</v>
      </c>
      <c r="I7" t="s" s="1">
        <v>1729</v>
      </c>
      <c r="J7" t="s" s="1">
        <v>1817</v>
      </c>
      <c r="K7" t="s" s="1">
        <v>267</v>
      </c>
      <c r="L7" t="s" s="1">
        <v>667</v>
      </c>
      <c r="M7" t="n" s="4">
        <v>49680</v>
      </c>
      <c r="N7" t="n" s="6">
        <v>45650.0</v>
      </c>
      <c r="O7" t="n" s="6">
        <v>46022.0</v>
      </c>
      <c r="P7" t="s" s="1">
        <v>2009</v>
      </c>
    </row>
    <row r="8" spans="1:16">
      <c r="A8" t="n" s="4">
        <v>4</v>
      </c>
      <c r="B8" s="2">
        <f>HYPERLINK("https://my.zakupivli.pro/remote/dispatcher/state_purchase_view/56281921", "UA-2024-12-30-006258-a")</f>
        <v/>
      </c>
      <c r="C8" t="s" s="2">
        <v>1795</v>
      </c>
      <c r="D8" s="2">
        <f>HYPERLINK("https://my.zakupivli.pro/remote/dispatcher/state_contracting_view/22742865", "UA-2024-12-30-006258-a-c1")</f>
        <v/>
      </c>
      <c r="E8" t="s" s="1">
        <v>1502</v>
      </c>
      <c r="F8" t="s" s="1">
        <v>1454</v>
      </c>
      <c r="G8" t="s" s="1">
        <v>2071</v>
      </c>
      <c r="H8" t="s" s="1">
        <v>1453</v>
      </c>
      <c r="I8" t="s" s="1">
        <v>1729</v>
      </c>
      <c r="J8" t="s" s="1">
        <v>1764</v>
      </c>
      <c r="K8" t="s" s="1">
        <v>488</v>
      </c>
      <c r="L8" t="s" s="1">
        <v>1993</v>
      </c>
      <c r="M8" t="n" s="7">
        <v>380004.48</v>
      </c>
      <c r="N8" t="n" s="6">
        <v>45652.0</v>
      </c>
      <c r="O8" t="n" s="6">
        <v>46022.0</v>
      </c>
      <c r="P8" t="s" s="1">
        <v>2009</v>
      </c>
    </row>
    <row r="9" spans="1:16">
      <c r="A9" t="n" s="4">
        <v>5</v>
      </c>
      <c r="B9" s="2">
        <f>HYPERLINK("https://my.zakupivli.pro/remote/dispatcher/state_purchase_view/56327524", "UA-2025-01-02-005076-a")</f>
        <v/>
      </c>
      <c r="C9" t="s" s="2">
        <v>1795</v>
      </c>
      <c r="D9" s="2">
        <f>HYPERLINK("https://my.zakupivli.pro/remote/dispatcher/state_contracting_view/22764094", "UA-2025-01-02-005076-a-b1")</f>
        <v/>
      </c>
      <c r="E9" t="s" s="1">
        <v>1532</v>
      </c>
      <c r="F9" t="s" s="1">
        <v>1356</v>
      </c>
      <c r="G9" t="s" s="1">
        <v>2058</v>
      </c>
      <c r="H9" t="s" s="1">
        <v>1358</v>
      </c>
      <c r="I9" t="s" s="1">
        <v>1729</v>
      </c>
      <c r="J9" t="s" s="1">
        <v>1913</v>
      </c>
      <c r="K9" t="s" s="1">
        <v>717</v>
      </c>
      <c r="L9" t="s" s="1">
        <v>1266</v>
      </c>
      <c r="M9" t="n" s="4">
        <v>734400</v>
      </c>
      <c r="N9" t="n" s="6">
        <v>45657.0</v>
      </c>
      <c r="O9" t="n" s="6">
        <v>46022.0</v>
      </c>
      <c r="P9" t="s" s="1">
        <v>2009</v>
      </c>
    </row>
    <row r="10" spans="1:16">
      <c r="A10" t="n" s="4">
        <v>6</v>
      </c>
      <c r="B10" s="2">
        <f>HYPERLINK("https://my.zakupivli.pro/remote/dispatcher/state_purchase_view/56215622", "UA-2024-12-26-012134-a")</f>
        <v/>
      </c>
      <c r="C10" t="s" s="2">
        <v>1795</v>
      </c>
      <c r="D10" s="2">
        <f>HYPERLINK("https://my.zakupivli.pro/remote/dispatcher/state_contracting_view/22714788", "UA-2024-12-26-012134-a-b1")</f>
        <v/>
      </c>
      <c r="E10" t="s" s="1">
        <v>50</v>
      </c>
      <c r="F10" t="s" s="1">
        <v>1355</v>
      </c>
      <c r="G10" t="s" s="1">
        <v>2075</v>
      </c>
      <c r="H10" t="s" s="1">
        <v>1352</v>
      </c>
      <c r="I10" t="s" s="1">
        <v>1729</v>
      </c>
      <c r="J10" t="s" s="1">
        <v>1813</v>
      </c>
      <c r="K10" t="s" s="1">
        <v>154</v>
      </c>
      <c r="L10" t="s" s="1">
        <v>1332</v>
      </c>
      <c r="M10" t="n" s="4">
        <v>4608</v>
      </c>
      <c r="N10" t="n" s="6">
        <v>45652.0</v>
      </c>
      <c r="O10" t="n" s="6">
        <v>46022.0</v>
      </c>
      <c r="P10" t="s" s="1">
        <v>2009</v>
      </c>
    </row>
    <row r="11" spans="1:16">
      <c r="A11" t="n" s="4">
        <v>7</v>
      </c>
      <c r="B11" s="2">
        <f>HYPERLINK("https://my.zakupivli.pro/remote/dispatcher/state_purchase_view/55973027", "UA-2024-12-19-015111-a")</f>
        <v/>
      </c>
      <c r="C11" t="s" s="2">
        <v>1795</v>
      </c>
      <c r="D11" s="2">
        <f>HYPERLINK("https://my.zakupivli.pro/remote/dispatcher/state_contracting_view/22603557", "UA-2024-12-19-015111-a-a1")</f>
        <v/>
      </c>
      <c r="E11" t="s" s="1">
        <v>387</v>
      </c>
      <c r="F11" t="s" s="1">
        <v>1094</v>
      </c>
      <c r="G11" t="s" s="1">
        <v>2076</v>
      </c>
      <c r="H11" t="s" s="1">
        <v>1095</v>
      </c>
      <c r="I11" t="s" s="1">
        <v>1729</v>
      </c>
      <c r="J11" t="s" s="1">
        <v>1732</v>
      </c>
      <c r="K11" t="s" s="1">
        <v>205</v>
      </c>
      <c r="L11" t="s" s="1">
        <v>1289</v>
      </c>
      <c r="M11" t="n" s="4">
        <v>3960</v>
      </c>
      <c r="N11" t="n" s="6">
        <v>45644.0</v>
      </c>
      <c r="O11" t="n" s="6">
        <v>46022.0</v>
      </c>
      <c r="P11" t="s" s="1">
        <v>2009</v>
      </c>
    </row>
    <row r="12" spans="1:16">
      <c r="A12" t="n" s="4">
        <v>8</v>
      </c>
      <c r="B12" s="2">
        <f>HYPERLINK("https://my.zakupivli.pro/remote/dispatcher/state_purchase_view/56183012", "UA-2024-12-25-012318-a")</f>
        <v/>
      </c>
      <c r="C12" t="s" s="2">
        <v>1795</v>
      </c>
      <c r="D12" s="2">
        <f>HYPERLINK("https://my.zakupivli.pro/remote/dispatcher/state_contracting_view/22699133", "UA-2024-12-25-012318-a-b1")</f>
        <v/>
      </c>
      <c r="E12" t="s" s="1">
        <v>1277</v>
      </c>
      <c r="F12" t="s" s="1">
        <v>1457</v>
      </c>
      <c r="G12" t="s" s="1">
        <v>2070</v>
      </c>
      <c r="H12" t="s" s="1">
        <v>1458</v>
      </c>
      <c r="I12" t="s" s="1">
        <v>1729</v>
      </c>
      <c r="J12" t="s" s="1">
        <v>1737</v>
      </c>
      <c r="K12" t="s" s="1">
        <v>545</v>
      </c>
      <c r="L12" t="s" s="1">
        <v>1760</v>
      </c>
      <c r="M12" t="n" s="4">
        <v>90000</v>
      </c>
      <c r="N12" t="n" s="6">
        <v>45651.0</v>
      </c>
      <c r="O12" t="n" s="6">
        <v>46022.0</v>
      </c>
      <c r="P12" t="s" s="1">
        <v>2009</v>
      </c>
    </row>
    <row r="13" spans="1:16">
      <c r="A13" t="n" s="4">
        <v>9</v>
      </c>
      <c r="B13" s="2">
        <f>HYPERLINK("https://my.zakupivli.pro/remote/dispatcher/state_purchase_view/56182077", "UA-2024-12-25-011855-a")</f>
        <v/>
      </c>
      <c r="C13" t="s" s="2">
        <v>1795</v>
      </c>
      <c r="D13" s="2">
        <f>HYPERLINK("https://my.zakupivli.pro/remote/dispatcher/state_contracting_view/22698675", "UA-2024-12-25-011855-a-b1")</f>
        <v/>
      </c>
      <c r="E13" t="s" s="1">
        <v>1637</v>
      </c>
      <c r="F13" t="s" s="1">
        <v>1457</v>
      </c>
      <c r="G13" t="s" s="1">
        <v>2069</v>
      </c>
      <c r="H13" t="s" s="1">
        <v>1458</v>
      </c>
      <c r="I13" t="s" s="1">
        <v>1729</v>
      </c>
      <c r="J13" t="s" s="1">
        <v>1737</v>
      </c>
      <c r="K13" t="s" s="1">
        <v>545</v>
      </c>
      <c r="L13" t="s" s="1">
        <v>1405</v>
      </c>
      <c r="M13" t="n" s="4">
        <v>120000</v>
      </c>
      <c r="N13" t="n" s="6">
        <v>45651.0</v>
      </c>
      <c r="O13" t="n" s="6">
        <v>46022.0</v>
      </c>
      <c r="P13" t="s" s="1">
        <v>2009</v>
      </c>
    </row>
    <row r="14" spans="1:16">
      <c r="A14" t="n" s="4">
        <v>10</v>
      </c>
      <c r="B14" s="2">
        <f>HYPERLINK("https://my.zakupivli.pro/remote/dispatcher/state_purchase_view/56283391", "UA-2024-12-30-007015-a")</f>
        <v/>
      </c>
      <c r="C14" t="s" s="2">
        <v>1795</v>
      </c>
      <c r="D14" s="2">
        <f>HYPERLINK("https://my.zakupivli.pro/remote/dispatcher/state_contracting_view/22743612", "UA-2024-12-30-007015-a-a1")</f>
        <v/>
      </c>
      <c r="E14" t="s" s="1">
        <v>163</v>
      </c>
      <c r="F14" t="s" s="1">
        <v>1235</v>
      </c>
      <c r="G14" t="s" s="1">
        <v>1844</v>
      </c>
      <c r="H14" t="s" s="1">
        <v>1236</v>
      </c>
      <c r="I14" t="s" s="1">
        <v>1729</v>
      </c>
      <c r="J14" t="s" s="1">
        <v>1764</v>
      </c>
      <c r="K14" t="s" s="1">
        <v>488</v>
      </c>
      <c r="L14" t="s" s="1">
        <v>1992</v>
      </c>
      <c r="M14" t="n" s="7">
        <v>403464.48</v>
      </c>
      <c r="N14" t="n" s="6">
        <v>45652.0</v>
      </c>
      <c r="O14" t="n" s="6">
        <v>46022.0</v>
      </c>
      <c r="P14" t="s" s="1">
        <v>2009</v>
      </c>
    </row>
    <row r="15" spans="1:16">
      <c r="A15" t="n" s="4">
        <v>11</v>
      </c>
      <c r="B15" s="2">
        <f>HYPERLINK("https://my.zakupivli.pro/remote/dispatcher/state_purchase_view/56181108", "UA-2024-12-25-011445-a")</f>
        <v/>
      </c>
      <c r="C15" t="s" s="2">
        <v>1795</v>
      </c>
      <c r="D15" s="2">
        <f>HYPERLINK("https://my.zakupivli.pro/remote/dispatcher/state_contracting_view/22698232", "UA-2024-12-25-011445-a-c1")</f>
        <v/>
      </c>
      <c r="E15" t="s" s="1">
        <v>1571</v>
      </c>
      <c r="F15" t="s" s="1">
        <v>1456</v>
      </c>
      <c r="G15" t="s" s="1">
        <v>1840</v>
      </c>
      <c r="H15" t="s" s="1">
        <v>1463</v>
      </c>
      <c r="I15" t="s" s="1">
        <v>1729</v>
      </c>
      <c r="J15" t="s" s="1">
        <v>1737</v>
      </c>
      <c r="K15" t="s" s="1">
        <v>545</v>
      </c>
      <c r="L15" t="s" s="1">
        <v>264</v>
      </c>
      <c r="M15" t="n" s="4">
        <v>209500</v>
      </c>
      <c r="N15" t="n" s="6">
        <v>45651.0</v>
      </c>
      <c r="O15" t="n" s="6">
        <v>46022.0</v>
      </c>
      <c r="P15" t="s" s="1">
        <v>2009</v>
      </c>
    </row>
    <row r="16" spans="1:16">
      <c r="A16" t="n" s="4">
        <v>12</v>
      </c>
      <c r="B16" s="2">
        <f>HYPERLINK("https://my.zakupivli.pro/remote/dispatcher/state_purchase_view/53844946", "UA-2024-10-08-007624-a")</f>
        <v/>
      </c>
      <c r="C16" s="2">
        <f>HYPERLINK("https://my.zakupivli.pro/remote/dispatcher/state_purchase_lot_view/1415736", "UA-2024-10-08-007624-a-L1415736")</f>
        <v/>
      </c>
      <c r="D16" s="2">
        <f>HYPERLINK("https://my.zakupivli.pro/remote/dispatcher/state_contracting_view/22029935", "UA-2024-10-08-007624-a-c2")</f>
        <v/>
      </c>
      <c r="E16" t="s" s="1">
        <v>1643</v>
      </c>
      <c r="F16" t="s" s="1">
        <v>1260</v>
      </c>
      <c r="G16" t="s" s="1">
        <v>1264</v>
      </c>
      <c r="H16" t="s" s="1">
        <v>1261</v>
      </c>
      <c r="I16" t="s" s="1">
        <v>1697</v>
      </c>
      <c r="J16" t="s" s="1">
        <v>1808</v>
      </c>
      <c r="K16" t="s" s="1">
        <v>289</v>
      </c>
      <c r="L16" t="s" s="1">
        <v>1160</v>
      </c>
      <c r="M16" t="n" s="7">
        <v>99950.0</v>
      </c>
      <c r="N16" t="n" s="6">
        <v>45614.0</v>
      </c>
      <c r="O16" t="n" s="6">
        <v>45979.0</v>
      </c>
      <c r="P16" t="s" s="1">
        <v>2009</v>
      </c>
    </row>
    <row r="17" spans="1:16">
      <c r="A17" t="n" s="4">
        <v>13</v>
      </c>
      <c r="B17" s="2">
        <f>HYPERLINK("https://my.zakupivli.pro/remote/dispatcher/state_purchase_view/53149591", "UA-2024-09-06-008266-a")</f>
        <v/>
      </c>
      <c r="C17" s="2">
        <f>HYPERLINK("https://my.zakupivli.pro/remote/dispatcher/state_purchase_lot_view/1382816", "UA-2024-09-06-008266-a-L1382816")</f>
        <v/>
      </c>
      <c r="D17" s="2">
        <f>HYPERLINK("https://my.zakupivli.pro/remote/dispatcher/state_contracting_view/21483532", "UA-2024-09-06-008266-a-c1")</f>
        <v/>
      </c>
      <c r="E17" t="s" s="1">
        <v>712</v>
      </c>
      <c r="F17" t="s" s="1">
        <v>1259</v>
      </c>
      <c r="G17" t="s" s="1">
        <v>1263</v>
      </c>
      <c r="H17" t="s" s="1">
        <v>1261</v>
      </c>
      <c r="I17" t="s" s="1">
        <v>1697</v>
      </c>
      <c r="J17" t="s" s="1">
        <v>1785</v>
      </c>
      <c r="K17" t="s" s="1">
        <v>12</v>
      </c>
      <c r="L17" t="s" s="1">
        <v>1076</v>
      </c>
      <c r="M17" t="n" s="7">
        <v>35133.0</v>
      </c>
      <c r="N17" t="n" s="6">
        <v>45559.0</v>
      </c>
      <c r="O17" t="n" s="6">
        <v>45924.0</v>
      </c>
      <c r="P17" t="s" s="1">
        <v>2009</v>
      </c>
    </row>
    <row r="18" spans="1:16">
      <c r="A18" t="n" s="4">
        <v>14</v>
      </c>
      <c r="B18" s="2">
        <f>HYPERLINK("https://my.zakupivli.pro/remote/dispatcher/state_purchase_view/51429602", "UA-2024-06-05-003417-a")</f>
        <v/>
      </c>
      <c r="C18" t="s" s="2">
        <v>1795</v>
      </c>
      <c r="D18" s="2">
        <f>HYPERLINK("https://my.zakupivli.pro/remote/dispatcher/state_contracting_view/20643014", "UA-2024-06-05-003417-a-a1")</f>
        <v/>
      </c>
      <c r="E18" t="s" s="1">
        <v>1524</v>
      </c>
      <c r="F18" t="s" s="1">
        <v>1258</v>
      </c>
      <c r="G18" t="s" s="1">
        <v>1262</v>
      </c>
      <c r="H18" t="s" s="1">
        <v>1261</v>
      </c>
      <c r="I18" t="s" s="1">
        <v>1729</v>
      </c>
      <c r="J18" t="s" s="1">
        <v>1670</v>
      </c>
      <c r="K18" t="s" s="1">
        <v>247</v>
      </c>
      <c r="L18" t="s" s="1">
        <v>18</v>
      </c>
      <c r="M18" t="n" s="7">
        <v>216972.0</v>
      </c>
      <c r="N18" t="n" s="6">
        <v>45448.0</v>
      </c>
      <c r="O18" t="n" s="6">
        <v>45813.0</v>
      </c>
      <c r="P18" t="s" s="1">
        <v>2009</v>
      </c>
    </row>
    <row r="19" spans="1:16">
      <c r="A19" t="n" s="4">
        <v>15</v>
      </c>
      <c r="B19" s="2">
        <f>HYPERLINK("https://my.zakupivli.pro/remote/dispatcher/state_purchase_view/55020578", "UA-2024-11-21-012497-a")</f>
        <v/>
      </c>
      <c r="C19" t="s" s="2">
        <v>1795</v>
      </c>
      <c r="D19" s="2">
        <f>HYPERLINK("https://my.zakupivli.pro/remote/dispatcher/state_contracting_view/22192037", "UA-2024-11-21-012497-a-c1")</f>
        <v/>
      </c>
      <c r="E19" t="s" s="1">
        <v>1579</v>
      </c>
      <c r="F19" t="s" s="1">
        <v>604</v>
      </c>
      <c r="G19" t="s" s="1">
        <v>1696</v>
      </c>
      <c r="H19" t="s" s="1">
        <v>606</v>
      </c>
      <c r="I19" t="s" s="1">
        <v>1729</v>
      </c>
      <c r="J19" t="s" s="1">
        <v>1740</v>
      </c>
      <c r="K19" t="s" s="1">
        <v>376</v>
      </c>
      <c r="L19" t="s" s="1">
        <v>1180</v>
      </c>
      <c r="M19" t="n" s="4">
        <v>2665450</v>
      </c>
      <c r="N19" t="n" s="6">
        <v>45617.0</v>
      </c>
      <c r="O19" t="n" s="6">
        <v>45809.0</v>
      </c>
      <c r="P19" t="s" s="1">
        <v>2009</v>
      </c>
    </row>
    <row r="20" spans="1:16">
      <c r="A20" t="n" s="4">
        <v>16</v>
      </c>
      <c r="B20" s="2">
        <f>HYPERLINK("https://my.zakupivli.pro/remote/dispatcher/state_purchase_view/55308460", "UA-2024-12-02-010676-a")</f>
        <v/>
      </c>
      <c r="C20" t="s" s="2">
        <v>1795</v>
      </c>
      <c r="D20" s="2">
        <f>HYPERLINK("https://my.zakupivli.pro/remote/dispatcher/state_contracting_view/22315841", "UA-2024-12-02-010676-a-b1")</f>
        <v/>
      </c>
      <c r="E20" t="s" s="1">
        <v>41</v>
      </c>
      <c r="F20" t="s" s="1">
        <v>863</v>
      </c>
      <c r="G20" t="s" s="1">
        <v>1754</v>
      </c>
      <c r="H20" t="s" s="1">
        <v>866</v>
      </c>
      <c r="I20" t="s" s="1">
        <v>1729</v>
      </c>
      <c r="J20" t="s" s="1">
        <v>1935</v>
      </c>
      <c r="K20" t="s" s="1">
        <v>668</v>
      </c>
      <c r="L20" t="s" s="1">
        <v>1190</v>
      </c>
      <c r="M20" t="n" s="4">
        <v>886218</v>
      </c>
      <c r="N20" t="n" s="6">
        <v>45625.0</v>
      </c>
      <c r="O20" t="n" s="6">
        <v>45808.0</v>
      </c>
      <c r="P20" t="s" s="1">
        <v>2009</v>
      </c>
    </row>
    <row r="21" spans="1:16">
      <c r="A21" t="n" s="4">
        <v>17</v>
      </c>
      <c r="B21" s="2">
        <f>HYPERLINK("https://my.zakupivli.pro/remote/dispatcher/state_purchase_view/53449937", "UA-2024-09-19-013146-a")</f>
        <v/>
      </c>
      <c r="C21" s="2">
        <f>HYPERLINK("https://my.zakupivli.pro/remote/dispatcher/state_purchase_lot_view/1396984", "UA-2024-09-19-013146-a-L1396984")</f>
        <v/>
      </c>
      <c r="D21" s="2">
        <f>HYPERLINK("https://my.zakupivli.pro/remote/dispatcher/state_contracting_view/21685340", "UA-2024-09-19-013146-a-a1")</f>
        <v/>
      </c>
      <c r="E21" t="s" s="1">
        <v>394</v>
      </c>
      <c r="F21" t="s" s="1">
        <v>1028</v>
      </c>
      <c r="G21" t="s" s="1">
        <v>1796</v>
      </c>
      <c r="H21" t="s" s="1">
        <v>1029</v>
      </c>
      <c r="I21" t="s" s="1">
        <v>1697</v>
      </c>
      <c r="J21" t="s" s="1">
        <v>1816</v>
      </c>
      <c r="K21" t="s" s="1">
        <v>1027</v>
      </c>
      <c r="L21" t="s" s="1">
        <v>1140</v>
      </c>
      <c r="M21" t="n" s="7">
        <v>7095940.0</v>
      </c>
      <c r="N21" t="n" s="6">
        <v>45586.0</v>
      </c>
      <c r="O21" t="n" s="6">
        <v>45808.0</v>
      </c>
      <c r="P21" t="s" s="1">
        <v>2009</v>
      </c>
    </row>
    <row r="22" spans="1:16">
      <c r="A22" t="n" s="4">
        <v>18</v>
      </c>
      <c r="B22" s="2">
        <f>HYPERLINK("https://my.zakupivli.pro/remote/dispatcher/state_purchase_view/54852111", "UA-2024-11-15-010222-a")</f>
        <v/>
      </c>
      <c r="C22" t="s" s="2">
        <v>1795</v>
      </c>
      <c r="D22" s="2">
        <f>HYPERLINK("https://my.zakupivli.pro/remote/dispatcher/state_contracting_view/22119692", "UA-2024-11-15-010222-a-c1")</f>
        <v/>
      </c>
      <c r="E22" t="s" s="1">
        <v>1080</v>
      </c>
      <c r="F22" t="s" s="1">
        <v>1299</v>
      </c>
      <c r="G22" t="s" s="1">
        <v>2040</v>
      </c>
      <c r="H22" t="s" s="1">
        <v>1305</v>
      </c>
      <c r="I22" t="s" s="1">
        <v>1729</v>
      </c>
      <c r="J22" t="s" s="1">
        <v>1690</v>
      </c>
      <c r="K22" t="s" s="1">
        <v>433</v>
      </c>
      <c r="L22" t="s" s="1">
        <v>1156</v>
      </c>
      <c r="M22" t="n" s="7">
        <v>18736.84</v>
      </c>
      <c r="N22" t="n" s="6">
        <v>45610.0</v>
      </c>
      <c r="O22" t="n" s="6">
        <v>45808.0</v>
      </c>
      <c r="P22" t="s" s="1">
        <v>2009</v>
      </c>
    </row>
    <row r="23" spans="1:16">
      <c r="A23" t="n" s="4">
        <v>19</v>
      </c>
      <c r="B23" s="2">
        <f>HYPERLINK("https://my.zakupivli.pro/remote/dispatcher/state_purchase_view/55386473", "UA-2024-12-04-007095-a")</f>
        <v/>
      </c>
      <c r="C23" t="s" s="2">
        <v>1795</v>
      </c>
      <c r="D23" s="2">
        <f>HYPERLINK("https://my.zakupivli.pro/remote/dispatcher/state_contracting_view/22349258", "UA-2024-12-04-007095-a-b1")</f>
        <v/>
      </c>
      <c r="E23" t="s" s="1">
        <v>1564</v>
      </c>
      <c r="F23" t="s" s="1">
        <v>440</v>
      </c>
      <c r="G23" t="s" s="1">
        <v>1686</v>
      </c>
      <c r="H23" t="s" s="1">
        <v>441</v>
      </c>
      <c r="I23" t="s" s="1">
        <v>1729</v>
      </c>
      <c r="J23" t="s" s="1">
        <v>1915</v>
      </c>
      <c r="K23" t="s" s="1">
        <v>834</v>
      </c>
      <c r="L23" t="s" s="1">
        <v>1194</v>
      </c>
      <c r="M23" t="n" s="4">
        <v>2742000</v>
      </c>
      <c r="N23" t="n" s="6">
        <v>45629.0</v>
      </c>
      <c r="O23" t="n" s="6">
        <v>45808.0</v>
      </c>
      <c r="P23" t="s" s="1">
        <v>2009</v>
      </c>
    </row>
    <row r="24" spans="1:16">
      <c r="A24" t="n" s="4">
        <v>20</v>
      </c>
      <c r="B24" s="2">
        <f>HYPERLINK("https://my.zakupivli.pro/remote/dispatcher/state_purchase_view/54928379", "UA-2024-11-19-008521-a")</f>
        <v/>
      </c>
      <c r="C24" t="s" s="2">
        <v>1795</v>
      </c>
      <c r="D24" s="2">
        <f>HYPERLINK("https://my.zakupivli.pro/remote/dispatcher/state_contracting_view/22152681", "UA-2024-11-19-008521-a-b1")</f>
        <v/>
      </c>
      <c r="E24" t="s" s="1">
        <v>1488</v>
      </c>
      <c r="F24" t="s" s="1">
        <v>1297</v>
      </c>
      <c r="G24" t="s" s="1">
        <v>1961</v>
      </c>
      <c r="H24" t="s" s="1">
        <v>1305</v>
      </c>
      <c r="I24" t="s" s="1">
        <v>1729</v>
      </c>
      <c r="J24" t="s" s="1">
        <v>1938</v>
      </c>
      <c r="K24" t="s" s="1">
        <v>929</v>
      </c>
      <c r="L24" t="s" s="1">
        <v>1161</v>
      </c>
      <c r="M24" t="n" s="4">
        <v>98000</v>
      </c>
      <c r="N24" t="n" s="6">
        <v>45615.0</v>
      </c>
      <c r="O24" t="n" s="6">
        <v>45808.0</v>
      </c>
      <c r="P24" t="s" s="1">
        <v>2009</v>
      </c>
    </row>
    <row r="25" spans="1:16">
      <c r="A25" t="n" s="4">
        <v>21</v>
      </c>
      <c r="B25" s="2">
        <f>HYPERLINK("https://my.zakupivli.pro/remote/dispatcher/state_purchase_view/49785967", "UA-2024-03-14-002732-a")</f>
        <v/>
      </c>
      <c r="C25" s="2">
        <f>HYPERLINK("https://my.zakupivli.pro/remote/dispatcher/state_purchase_lot_view/1231549", "UA-2024-03-14-002732-a-L1231549")</f>
        <v/>
      </c>
      <c r="D25" s="2">
        <f>HYPERLINK("https://my.zakupivli.pro/remote/dispatcher/state_contracting_view/19754136", "UA-2024-03-14-002732-a-a1")</f>
        <v/>
      </c>
      <c r="E25" t="s" s="1">
        <v>1620</v>
      </c>
      <c r="F25" t="s" s="1">
        <v>847</v>
      </c>
      <c r="G25" t="s" s="1">
        <v>1700</v>
      </c>
      <c r="H25" t="s" s="1">
        <v>848</v>
      </c>
      <c r="I25" t="s" s="1">
        <v>1697</v>
      </c>
      <c r="J25" t="s" s="1">
        <v>1850</v>
      </c>
      <c r="K25" t="s" s="1">
        <v>437</v>
      </c>
      <c r="L25" t="s" s="1">
        <v>211</v>
      </c>
      <c r="M25" t="n" s="7">
        <v>5329900.0</v>
      </c>
      <c r="N25" t="n" s="6">
        <v>45390.0</v>
      </c>
      <c r="O25" t="n" s="6">
        <v>45747.0</v>
      </c>
      <c r="P25" t="s" s="1">
        <v>2009</v>
      </c>
    </row>
    <row r="26" spans="1:16">
      <c r="A26" t="n" s="4">
        <v>22</v>
      </c>
      <c r="B26" s="2">
        <f>HYPERLINK("https://my.zakupivli.pro/remote/dispatcher/state_purchase_view/51793938", "UA-2024-06-24-001176-a")</f>
        <v/>
      </c>
      <c r="C26" s="2">
        <f>HYPERLINK("https://my.zakupivli.pro/remote/dispatcher/state_purchase_lot_view/1319010", "UA-2024-06-24-001176-a-L1319010")</f>
        <v/>
      </c>
      <c r="D26" s="2">
        <f>HYPERLINK("https://my.zakupivli.pro/remote/dispatcher/state_contracting_view/21061973", "UA-2024-06-24-001176-a-a1")</f>
        <v/>
      </c>
      <c r="E26" t="s" s="1">
        <v>1497</v>
      </c>
      <c r="F26" t="s" s="1">
        <v>590</v>
      </c>
      <c r="G26" t="s" s="1">
        <v>1680</v>
      </c>
      <c r="H26" t="s" s="1">
        <v>594</v>
      </c>
      <c r="I26" t="s" s="1">
        <v>1697</v>
      </c>
      <c r="J26" t="s" s="1">
        <v>1995</v>
      </c>
      <c r="K26" t="s" s="1">
        <v>348</v>
      </c>
      <c r="L26" t="s" s="1">
        <v>687</v>
      </c>
      <c r="M26" t="n" s="7">
        <v>3845470.0</v>
      </c>
      <c r="N26" t="n" s="6">
        <v>45511.0</v>
      </c>
      <c r="O26" t="n" s="6">
        <v>45747.0</v>
      </c>
      <c r="P26" t="s" s="1">
        <v>2009</v>
      </c>
    </row>
    <row r="27" spans="1:16">
      <c r="A27" t="n" s="4">
        <v>23</v>
      </c>
      <c r="B27" s="2">
        <f>HYPERLINK("https://my.zakupivli.pro/remote/dispatcher/state_purchase_view/49386433", "UA-2024-02-23-004255-a")</f>
        <v/>
      </c>
      <c r="C27" s="2">
        <f>HYPERLINK("https://my.zakupivli.pro/remote/dispatcher/state_purchase_lot_view/1214498", "UA-2024-02-23-004255-a-L1214498")</f>
        <v/>
      </c>
      <c r="D27" s="2">
        <f>HYPERLINK("https://my.zakupivli.pro/remote/dispatcher/state_contracting_view/19620567", "UA-2024-02-23-004255-a-a1")</f>
        <v/>
      </c>
      <c r="E27" t="s" s="1">
        <v>1605</v>
      </c>
      <c r="F27" t="s" s="1">
        <v>471</v>
      </c>
      <c r="G27" t="s" s="1">
        <v>1832</v>
      </c>
      <c r="H27" t="s" s="1">
        <v>470</v>
      </c>
      <c r="I27" t="s" s="1">
        <v>1697</v>
      </c>
      <c r="J27" t="s" s="1">
        <v>1889</v>
      </c>
      <c r="K27" t="s" s="1">
        <v>856</v>
      </c>
      <c r="L27" t="s" s="1">
        <v>165</v>
      </c>
      <c r="M27" t="n" s="7">
        <v>12672554.89</v>
      </c>
      <c r="N27" t="n" s="6">
        <v>45377.0</v>
      </c>
      <c r="O27" t="n" s="6">
        <v>45747.0</v>
      </c>
      <c r="P27" t="s" s="1">
        <v>2009</v>
      </c>
    </row>
    <row r="28" spans="1:16">
      <c r="A28" t="n" s="4">
        <v>24</v>
      </c>
      <c r="B28" s="2">
        <f>HYPERLINK("https://my.zakupivli.pro/remote/dispatcher/state_purchase_view/51799184", "UA-2024-06-24-003408-a")</f>
        <v/>
      </c>
      <c r="C28" s="2">
        <f>HYPERLINK("https://my.zakupivli.pro/remote/dispatcher/state_purchase_lot_view/1319149", "UA-2024-06-24-003408-a-L1319149")</f>
        <v/>
      </c>
      <c r="D28" s="2">
        <f>HYPERLINK("https://my.zakupivli.pro/remote/dispatcher/state_contracting_view/20900208", "UA-2024-06-24-003408-a-a1")</f>
        <v/>
      </c>
      <c r="E28" t="s" s="1">
        <v>1600</v>
      </c>
      <c r="F28" t="s" s="1">
        <v>597</v>
      </c>
      <c r="G28" t="s" s="1">
        <v>1778</v>
      </c>
      <c r="H28" t="s" s="1">
        <v>595</v>
      </c>
      <c r="I28" t="s" s="1">
        <v>1697</v>
      </c>
      <c r="J28" t="s" s="1">
        <v>1755</v>
      </c>
      <c r="K28" t="s" s="1">
        <v>379</v>
      </c>
      <c r="L28" t="s" s="1">
        <v>658</v>
      </c>
      <c r="M28" t="n" s="7">
        <v>2149200.0</v>
      </c>
      <c r="N28" t="n" s="6">
        <v>45492.0</v>
      </c>
      <c r="O28" t="n" s="6">
        <v>45747.0</v>
      </c>
      <c r="P28" t="s" s="1">
        <v>2009</v>
      </c>
    </row>
    <row r="29" spans="1:16">
      <c r="A29" t="n" s="4">
        <v>25</v>
      </c>
      <c r="B29" s="2">
        <f>HYPERLINK("https://my.zakupivli.pro/remote/dispatcher/state_purchase_view/51105554", "UA-2024-05-20-006491-a")</f>
        <v/>
      </c>
      <c r="C29" s="2">
        <f>HYPERLINK("https://my.zakupivli.pro/remote/dispatcher/state_purchase_lot_view/1288652", "UA-2024-05-20-006491-a-L1288652")</f>
        <v/>
      </c>
      <c r="D29" s="2">
        <f>HYPERLINK("https://my.zakupivli.pro/remote/dispatcher/state_contracting_view/20587479", "UA-2024-05-20-006491-a-a1")</f>
        <v/>
      </c>
      <c r="E29" t="s" s="1">
        <v>1126</v>
      </c>
      <c r="F29" t="s" s="1">
        <v>451</v>
      </c>
      <c r="G29" t="s" s="1">
        <v>1692</v>
      </c>
      <c r="H29" t="s" s="1">
        <v>456</v>
      </c>
      <c r="I29" t="s" s="1">
        <v>1697</v>
      </c>
      <c r="J29" t="s" s="1">
        <v>2005</v>
      </c>
      <c r="K29" t="s" s="1">
        <v>366</v>
      </c>
      <c r="L29" t="s" s="1">
        <v>490</v>
      </c>
      <c r="M29" t="n" s="7">
        <v>2863940.0</v>
      </c>
      <c r="N29" t="n" s="6">
        <v>45455.0</v>
      </c>
      <c r="O29" t="n" s="6">
        <v>45747.0</v>
      </c>
      <c r="P29" t="s" s="1">
        <v>2009</v>
      </c>
    </row>
    <row r="30" spans="1:16">
      <c r="A30" t="n" s="4">
        <v>26</v>
      </c>
      <c r="B30" s="2">
        <f>HYPERLINK("https://my.zakupivli.pro/remote/dispatcher/state_purchase_view/55393983", "UA-2024-12-04-010475-a")</f>
        <v/>
      </c>
      <c r="C30" t="s" s="2">
        <v>1795</v>
      </c>
      <c r="D30" s="2">
        <f>HYPERLINK("https://my.zakupivli.pro/remote/dispatcher/state_contracting_view/22352445", "UA-2024-12-04-010475-a-c1")</f>
        <v/>
      </c>
      <c r="E30" t="s" s="1">
        <v>1147</v>
      </c>
      <c r="F30" t="s" s="1">
        <v>1317</v>
      </c>
      <c r="G30" t="s" s="1">
        <v>2013</v>
      </c>
      <c r="H30" t="s" s="1">
        <v>1321</v>
      </c>
      <c r="I30" t="s" s="1">
        <v>1729</v>
      </c>
      <c r="J30" t="s" s="1">
        <v>1927</v>
      </c>
      <c r="K30" t="s" s="1">
        <v>721</v>
      </c>
      <c r="L30" t="s" s="1">
        <v>1199</v>
      </c>
      <c r="M30" t="n" s="7">
        <v>213272.59</v>
      </c>
      <c r="N30" t="n" s="6">
        <v>45630.0</v>
      </c>
      <c r="O30" t="n" s="6">
        <v>45731.0</v>
      </c>
      <c r="P30" t="s" s="1">
        <v>2009</v>
      </c>
    </row>
    <row r="31" spans="1:16">
      <c r="A31" t="n" s="4">
        <v>27</v>
      </c>
      <c r="B31" s="2">
        <f>HYPERLINK("https://my.zakupivli.pro/remote/dispatcher/state_purchase_view/48100520", "UA-2023-12-28-006502-a")</f>
        <v/>
      </c>
      <c r="C31" s="2">
        <f>HYPERLINK("https://my.zakupivli.pro/remote/dispatcher/state_purchase_lot_view/1164352", "UA-2023-12-28-006502-a-L1164352")</f>
        <v/>
      </c>
      <c r="D31" s="2">
        <f>HYPERLINK("https://my.zakupivli.pro/remote/dispatcher/state_contracting_view/19257707", "UA-2023-12-28-006502-a-a2")</f>
        <v/>
      </c>
      <c r="E31" t="s" s="1">
        <v>236</v>
      </c>
      <c r="F31" t="s" s="1">
        <v>49</v>
      </c>
      <c r="G31" t="s" s="1">
        <v>2033</v>
      </c>
      <c r="H31" t="s" s="1">
        <v>47</v>
      </c>
      <c r="I31" t="s" s="1">
        <v>1697</v>
      </c>
      <c r="J31" t="s" s="1">
        <v>1719</v>
      </c>
      <c r="K31" t="s" s="1">
        <v>1026</v>
      </c>
      <c r="L31" t="s" s="1">
        <v>1431</v>
      </c>
      <c r="M31" t="n" s="7">
        <v>60251784.21</v>
      </c>
      <c r="N31" t="n" s="6">
        <v>45336.0</v>
      </c>
      <c r="O31" t="n" s="6">
        <v>45716.0</v>
      </c>
      <c r="P31" t="s" s="1">
        <v>2009</v>
      </c>
    </row>
    <row r="32" spans="1:16">
      <c r="A32" t="n" s="4">
        <v>28</v>
      </c>
      <c r="B32" s="2">
        <f>HYPERLINK("https://my.zakupivli.pro/remote/dispatcher/state_purchase_view/48939859", "UA-2024-02-05-011023-a")</f>
        <v/>
      </c>
      <c r="C32" t="s" s="2">
        <v>1795</v>
      </c>
      <c r="D32" s="2">
        <f>HYPERLINK("https://my.zakupivli.pro/remote/dispatcher/state_contracting_view/19153242", "UA-2024-02-05-011023-a-c1")</f>
        <v/>
      </c>
      <c r="E32" t="s" s="1">
        <v>1607</v>
      </c>
      <c r="F32" t="s" s="1">
        <v>1353</v>
      </c>
      <c r="G32" t="s" s="1">
        <v>2030</v>
      </c>
      <c r="H32" t="s" s="1">
        <v>1352</v>
      </c>
      <c r="I32" t="s" s="1">
        <v>1729</v>
      </c>
      <c r="J32" t="s" s="1">
        <v>1974</v>
      </c>
      <c r="K32" t="s" s="1">
        <v>489</v>
      </c>
      <c r="L32" t="s" s="1">
        <v>378</v>
      </c>
      <c r="M32" t="n" s="7">
        <v>6816.0</v>
      </c>
      <c r="N32" t="n" s="6">
        <v>45327.0</v>
      </c>
      <c r="O32" t="n" s="6">
        <v>45690.0</v>
      </c>
      <c r="P32" t="s" s="1">
        <v>2009</v>
      </c>
    </row>
    <row r="33" spans="1:16">
      <c r="A33" t="n" s="4">
        <v>29</v>
      </c>
      <c r="B33" s="2">
        <f>HYPERLINK("https://my.zakupivli.pro/remote/dispatcher/state_purchase_view/48117119", "UA-2023-12-29-002732-a")</f>
        <v/>
      </c>
      <c r="C33" s="2">
        <f>HYPERLINK("https://my.zakupivli.pro/remote/dispatcher/state_purchase_lot_view/1165293", "UA-2023-12-29-002732-a-L1165293")</f>
        <v/>
      </c>
      <c r="D33" s="2">
        <f>HYPERLINK("https://my.zakupivli.pro/remote/dispatcher/state_contracting_view/19101045", "UA-2023-12-29-002732-a-c1")</f>
        <v/>
      </c>
      <c r="E33" t="s" s="1">
        <v>1616</v>
      </c>
      <c r="F33" t="s" s="1">
        <v>302</v>
      </c>
      <c r="G33" t="s" s="1">
        <v>1718</v>
      </c>
      <c r="H33" t="s" s="1">
        <v>303</v>
      </c>
      <c r="I33" t="s" s="1">
        <v>1697</v>
      </c>
      <c r="J33" t="s" s="1">
        <v>1919</v>
      </c>
      <c r="K33" t="s" s="1">
        <v>890</v>
      </c>
      <c r="L33" t="s" s="1">
        <v>1289</v>
      </c>
      <c r="M33" t="n" s="4">
        <v>164996</v>
      </c>
      <c r="N33" t="n" s="6">
        <v>45321.0</v>
      </c>
      <c r="O33" t="n" s="6">
        <v>45688.0</v>
      </c>
      <c r="P33" t="s" s="1">
        <v>2036</v>
      </c>
    </row>
    <row r="34" spans="1:16">
      <c r="A34" t="n" s="4">
        <v>30</v>
      </c>
      <c r="B34" s="2">
        <f>HYPERLINK("https://my.zakupivli.pro/remote/dispatcher/state_purchase_view/49595131", "UA-2024-03-05-008513-a")</f>
        <v/>
      </c>
      <c r="C34" t="s" s="2">
        <v>1795</v>
      </c>
      <c r="D34" s="2">
        <f>HYPERLINK("https://my.zakupivli.pro/remote/dispatcher/state_contracting_view/19434455", "UA-2024-03-05-008513-a-a1")</f>
        <v/>
      </c>
      <c r="E34" t="s" s="1">
        <v>1656</v>
      </c>
      <c r="F34" t="s" s="1">
        <v>1044</v>
      </c>
      <c r="G34" t="s" s="1">
        <v>1046</v>
      </c>
      <c r="H34" t="s" s="1">
        <v>1045</v>
      </c>
      <c r="I34" t="s" s="1">
        <v>1729</v>
      </c>
      <c r="J34" t="s" s="1">
        <v>1821</v>
      </c>
      <c r="K34" t="s" s="1">
        <v>996</v>
      </c>
      <c r="L34" t="s" s="1">
        <v>110</v>
      </c>
      <c r="M34" t="n" s="4">
        <v>369084</v>
      </c>
      <c r="N34" t="n" s="6">
        <v>45356.0</v>
      </c>
      <c r="O34" t="n" s="6">
        <v>45688.0</v>
      </c>
      <c r="P34" t="s" s="1">
        <v>2036</v>
      </c>
    </row>
    <row r="35" spans="1:16">
      <c r="A35" t="n" s="4">
        <v>31</v>
      </c>
      <c r="B35" s="2">
        <f>HYPERLINK("https://my.zakupivli.pro/remote/dispatcher/state_purchase_view/56009803", "UA-2024-12-20-006349-a")</f>
        <v/>
      </c>
      <c r="C35" t="s" s="2">
        <v>1795</v>
      </c>
      <c r="D35" s="2">
        <f>HYPERLINK("https://my.zakupivli.pro/remote/dispatcher/state_contracting_view/22619919", "UA-2024-12-20-006349-a-b1")</f>
        <v/>
      </c>
      <c r="E35" t="s" s="1">
        <v>1195</v>
      </c>
      <c r="F35" t="s" s="1">
        <v>591</v>
      </c>
      <c r="G35" t="s" s="1">
        <v>1749</v>
      </c>
      <c r="H35" t="s" s="1">
        <v>593</v>
      </c>
      <c r="I35" t="s" s="1">
        <v>1729</v>
      </c>
      <c r="J35" t="s" s="1">
        <v>1834</v>
      </c>
      <c r="K35" t="s" s="1">
        <v>645</v>
      </c>
      <c r="L35" t="s" s="1">
        <v>1214</v>
      </c>
      <c r="M35" t="n" s="4">
        <v>1999566</v>
      </c>
      <c r="N35" t="n" s="6">
        <v>45644.0</v>
      </c>
      <c r="O35" t="n" s="6">
        <v>45687.0</v>
      </c>
      <c r="P35" t="s" s="1">
        <v>2009</v>
      </c>
    </row>
    <row r="36" spans="1:16">
      <c r="A36" t="n" s="4">
        <v>32</v>
      </c>
      <c r="B36" s="2">
        <f>HYPERLINK("https://my.zakupivli.pro/remote/dispatcher/state_purchase_view/48349727", "UA-2024-01-15-007690-a")</f>
        <v/>
      </c>
      <c r="C36" t="s" s="2">
        <v>1795</v>
      </c>
      <c r="D36" s="2">
        <f>HYPERLINK("https://my.zakupivli.pro/remote/dispatcher/state_contracting_view/18902540", "UA-2024-01-15-007690-a-b1")</f>
        <v/>
      </c>
      <c r="E36" t="s" s="1">
        <v>1518</v>
      </c>
      <c r="F36" t="s" s="1">
        <v>1259</v>
      </c>
      <c r="G36" t="s" s="1">
        <v>1263</v>
      </c>
      <c r="H36" t="s" s="1">
        <v>1261</v>
      </c>
      <c r="I36" t="s" s="1">
        <v>1729</v>
      </c>
      <c r="J36" t="s" s="1">
        <v>1812</v>
      </c>
      <c r="K36" t="s" s="1">
        <v>262</v>
      </c>
      <c r="L36" t="s" s="1">
        <v>73</v>
      </c>
      <c r="M36" t="n" s="7">
        <v>3778.0</v>
      </c>
      <c r="N36" t="n" s="6">
        <v>45306.0</v>
      </c>
      <c r="O36" t="n" s="6">
        <v>45672.0</v>
      </c>
      <c r="P36" t="s" s="1">
        <v>2009</v>
      </c>
    </row>
    <row r="37" spans="1:16">
      <c r="A37" t="n" s="4">
        <v>33</v>
      </c>
      <c r="B37" s="2">
        <f>HYPERLINK("https://my.zakupivli.pro/remote/dispatcher/state_purchase_view/49704326", "UA-2024-03-11-006423-a")</f>
        <v/>
      </c>
      <c r="C37" t="s" s="2">
        <v>1795</v>
      </c>
      <c r="D37" s="2">
        <f>HYPERLINK("https://my.zakupivli.pro/remote/dispatcher/state_contracting_view/19481198", "UA-2024-03-11-006423-a-b1")</f>
        <v/>
      </c>
      <c r="E37" t="s" s="1">
        <v>1389</v>
      </c>
      <c r="F37" t="s" s="1">
        <v>132</v>
      </c>
      <c r="G37" t="s" s="1">
        <v>132</v>
      </c>
      <c r="H37" t="s" s="1">
        <v>131</v>
      </c>
      <c r="I37" t="s" s="1">
        <v>1729</v>
      </c>
      <c r="J37" t="s" s="1">
        <v>1799</v>
      </c>
      <c r="K37" t="s" s="1">
        <v>339</v>
      </c>
      <c r="L37" t="s" s="1">
        <v>137</v>
      </c>
      <c r="M37" t="n" s="7">
        <v>7800.0</v>
      </c>
      <c r="N37" t="n" s="6">
        <v>45359.0</v>
      </c>
      <c r="O37" t="n" s="6">
        <v>45657.0</v>
      </c>
      <c r="P37" t="s" s="1">
        <v>2009</v>
      </c>
    </row>
    <row r="38" spans="1:16">
      <c r="A38" t="n" s="4">
        <v>34</v>
      </c>
      <c r="B38" s="2">
        <f>HYPERLINK("https://my.zakupivli.pro/remote/dispatcher/state_purchase_view/51994560", "UA-2024-07-04-006833-a")</f>
        <v/>
      </c>
      <c r="C38" s="2">
        <f>HYPERLINK("https://my.zakupivli.pro/remote/dispatcher/state_purchase_lot_view/1328737", "UA-2024-07-04-006833-a-L1328737")</f>
        <v/>
      </c>
      <c r="D38" s="2">
        <f>HYPERLINK("https://my.zakupivli.pro/remote/dispatcher/state_contracting_view/20977932", "UA-2024-07-04-006833-a-a1")</f>
        <v/>
      </c>
      <c r="E38" t="s" s="1">
        <v>1572</v>
      </c>
      <c r="F38" t="s" s="1">
        <v>107</v>
      </c>
      <c r="G38" t="s" s="1">
        <v>1854</v>
      </c>
      <c r="H38" t="s" s="1">
        <v>109</v>
      </c>
      <c r="I38" t="s" s="1">
        <v>1697</v>
      </c>
      <c r="J38" t="s" s="1">
        <v>1958</v>
      </c>
      <c r="K38" t="s" s="1">
        <v>995</v>
      </c>
      <c r="L38" t="s" s="1">
        <v>666</v>
      </c>
      <c r="M38" t="n" s="4">
        <v>4622190</v>
      </c>
      <c r="N38" t="n" s="6">
        <v>45499.0</v>
      </c>
      <c r="O38" t="n" s="6">
        <v>45657.0</v>
      </c>
      <c r="P38" t="s" s="1">
        <v>2009</v>
      </c>
    </row>
    <row r="39" spans="1:16">
      <c r="A39" t="n" s="4">
        <v>35</v>
      </c>
      <c r="B39" s="2">
        <f>HYPERLINK("https://my.zakupivli.pro/remote/dispatcher/state_purchase_view/52413423", "UA-2024-07-30-002867-a")</f>
        <v/>
      </c>
      <c r="C39" t="s" s="2">
        <v>1795</v>
      </c>
      <c r="D39" s="2">
        <f>HYPERLINK("https://my.zakupivli.pro/remote/dispatcher/state_contracting_view/21071922", "UA-2024-07-30-002867-a-c1")</f>
        <v/>
      </c>
      <c r="E39" t="s" s="1">
        <v>1434</v>
      </c>
      <c r="F39" t="s" s="1">
        <v>1036</v>
      </c>
      <c r="G39" t="s" s="1">
        <v>2082</v>
      </c>
      <c r="H39" t="s" s="1">
        <v>1041</v>
      </c>
      <c r="I39" t="s" s="1">
        <v>1729</v>
      </c>
      <c r="J39" t="s" s="1">
        <v>1816</v>
      </c>
      <c r="K39" t="s" s="1">
        <v>1027</v>
      </c>
      <c r="L39" t="s" s="1">
        <v>674</v>
      </c>
      <c r="M39" t="n" s="7">
        <v>190649.9</v>
      </c>
      <c r="N39" t="n" s="6">
        <v>45499.0</v>
      </c>
      <c r="O39" t="n" s="6">
        <v>45657.0</v>
      </c>
      <c r="P39" t="s" s="1">
        <v>2009</v>
      </c>
    </row>
    <row r="40" spans="1:16">
      <c r="A40" t="n" s="4">
        <v>36</v>
      </c>
      <c r="B40" s="2">
        <f>HYPERLINK("https://my.zakupivli.pro/remote/dispatcher/state_purchase_view/52414512", "UA-2024-07-30-003336-a")</f>
        <v/>
      </c>
      <c r="C40" t="s" s="2">
        <v>1795</v>
      </c>
      <c r="D40" s="2">
        <f>HYPERLINK("https://my.zakupivli.pro/remote/dispatcher/state_contracting_view/21072382", "UA-2024-07-30-003336-a-b1")</f>
        <v/>
      </c>
      <c r="E40" t="s" s="1">
        <v>1629</v>
      </c>
      <c r="F40" t="s" s="1">
        <v>1038</v>
      </c>
      <c r="G40" t="s" s="1">
        <v>2081</v>
      </c>
      <c r="H40" t="s" s="1">
        <v>1041</v>
      </c>
      <c r="I40" t="s" s="1">
        <v>1729</v>
      </c>
      <c r="J40" t="s" s="1">
        <v>1816</v>
      </c>
      <c r="K40" t="s" s="1">
        <v>1027</v>
      </c>
      <c r="L40" t="s" s="1">
        <v>671</v>
      </c>
      <c r="M40" t="n" s="7">
        <v>89419.2</v>
      </c>
      <c r="N40" t="n" s="6">
        <v>45499.0</v>
      </c>
      <c r="O40" t="n" s="6">
        <v>45657.0</v>
      </c>
      <c r="P40" t="s" s="1">
        <v>2009</v>
      </c>
    </row>
    <row r="41" spans="1:16">
      <c r="A41" t="n" s="4">
        <v>37</v>
      </c>
      <c r="B41" s="2">
        <f>HYPERLINK("https://my.zakupivli.pro/remote/dispatcher/state_purchase_view/51270006", "UA-2024-05-28-001751-a")</f>
        <v/>
      </c>
      <c r="C41" t="s" s="2">
        <v>1795</v>
      </c>
      <c r="D41" s="2">
        <f>HYPERLINK("https://my.zakupivli.pro/remote/dispatcher/state_contracting_view/20573305", "UA-2024-05-28-001751-a-b1")</f>
        <v/>
      </c>
      <c r="E41" t="s" s="1">
        <v>384</v>
      </c>
      <c r="F41" t="s" s="1">
        <v>274</v>
      </c>
      <c r="G41" t="s" s="1">
        <v>2042</v>
      </c>
      <c r="H41" t="s" s="1">
        <v>275</v>
      </c>
      <c r="I41" t="s" s="1">
        <v>1729</v>
      </c>
      <c r="J41" t="s" s="1">
        <v>1786</v>
      </c>
      <c r="K41" t="s" s="1">
        <v>313</v>
      </c>
      <c r="L41" t="s" s="1">
        <v>364</v>
      </c>
      <c r="M41" t="n" s="4">
        <v>1386</v>
      </c>
      <c r="N41" t="n" s="6">
        <v>45436.0</v>
      </c>
      <c r="O41" t="n" s="6">
        <v>45657.0</v>
      </c>
      <c r="P41" t="s" s="1">
        <v>2009</v>
      </c>
    </row>
    <row r="42" spans="1:16">
      <c r="A42" t="n" s="4">
        <v>38</v>
      </c>
      <c r="B42" s="2">
        <f>HYPERLINK("https://my.zakupivli.pro/remote/dispatcher/state_purchase_view/56123312", "UA-2024-12-24-005839-a")</f>
        <v/>
      </c>
      <c r="C42" t="s" s="2">
        <v>1795</v>
      </c>
      <c r="D42" s="2">
        <f>HYPERLINK("https://my.zakupivli.pro/remote/dispatcher/state_contracting_view/22671304", "UA-2024-12-24-005839-a-b1")</f>
        <v/>
      </c>
      <c r="E42" t="s" s="1">
        <v>1186</v>
      </c>
      <c r="F42" t="s" s="1">
        <v>1104</v>
      </c>
      <c r="G42" t="s" s="1">
        <v>2024</v>
      </c>
      <c r="H42" t="s" s="1">
        <v>1103</v>
      </c>
      <c r="I42" t="s" s="1">
        <v>1729</v>
      </c>
      <c r="J42" t="s" s="1">
        <v>1711</v>
      </c>
      <c r="K42" t="s" s="1">
        <v>33</v>
      </c>
      <c r="L42" t="s" s="1">
        <v>1771</v>
      </c>
      <c r="M42" t="n" s="7">
        <v>739.1</v>
      </c>
      <c r="N42" t="n" s="6">
        <v>45645.0</v>
      </c>
      <c r="O42" t="n" s="6">
        <v>45657.0</v>
      </c>
      <c r="P42" t="s" s="1">
        <v>2009</v>
      </c>
    </row>
    <row r="43" spans="1:16">
      <c r="A43" t="n" s="4">
        <v>39</v>
      </c>
      <c r="B43" s="2">
        <f>HYPERLINK("https://my.zakupivli.pro/remote/dispatcher/state_purchase_view/54585899", "UA-2024-11-06-012721-a")</f>
        <v/>
      </c>
      <c r="C43" t="s" s="2">
        <v>1795</v>
      </c>
      <c r="D43" s="2">
        <f>HYPERLINK("https://my.zakupivli.pro/remote/dispatcher/state_contracting_view/22006229", "UA-2024-11-06-012721-a-a1")</f>
        <v/>
      </c>
      <c r="E43" t="s" s="1">
        <v>1529</v>
      </c>
      <c r="F43" t="s" s="1">
        <v>1354</v>
      </c>
      <c r="G43" t="s" s="1">
        <v>1354</v>
      </c>
      <c r="H43" t="s" s="1">
        <v>1352</v>
      </c>
      <c r="I43" t="s" s="1">
        <v>1729</v>
      </c>
      <c r="J43" t="s" s="1">
        <v>1942</v>
      </c>
      <c r="K43" t="s" s="1">
        <v>541</v>
      </c>
      <c r="L43" t="s" s="1">
        <v>1801</v>
      </c>
      <c r="M43" t="n" s="4">
        <v>21600</v>
      </c>
      <c r="N43" t="n" s="6">
        <v>45601.0</v>
      </c>
      <c r="O43" t="n" s="6">
        <v>45657.0</v>
      </c>
      <c r="P43" t="s" s="1">
        <v>2009</v>
      </c>
    </row>
    <row r="44" spans="1:16">
      <c r="A44" t="n" s="4">
        <v>40</v>
      </c>
      <c r="B44" s="2">
        <f>HYPERLINK("https://my.zakupivli.pro/remote/dispatcher/state_purchase_view/54618059", "UA-2024-11-07-009434-a")</f>
        <v/>
      </c>
      <c r="C44" t="s" s="2">
        <v>1795</v>
      </c>
      <c r="D44" s="2">
        <f>HYPERLINK("https://my.zakupivli.pro/remote/dispatcher/state_contracting_view/22019960", "UA-2024-11-07-009434-a-c1")</f>
        <v/>
      </c>
      <c r="E44" t="s" s="1">
        <v>1592</v>
      </c>
      <c r="F44" t="s" s="1">
        <v>924</v>
      </c>
      <c r="G44" t="s" s="1">
        <v>2108</v>
      </c>
      <c r="H44" t="s" s="1">
        <v>925</v>
      </c>
      <c r="I44" t="s" s="1">
        <v>1729</v>
      </c>
      <c r="J44" t="s" s="1">
        <v>1911</v>
      </c>
      <c r="K44" t="s" s="1">
        <v>723</v>
      </c>
      <c r="L44" t="s" s="1">
        <v>1148</v>
      </c>
      <c r="M44" t="n" s="4">
        <v>10754</v>
      </c>
      <c r="N44" t="n" s="6">
        <v>45602.0</v>
      </c>
      <c r="O44" t="n" s="6">
        <v>45657.0</v>
      </c>
      <c r="P44" t="s" s="1">
        <v>2009</v>
      </c>
    </row>
    <row r="45" spans="1:16">
      <c r="A45" t="n" s="4">
        <v>41</v>
      </c>
      <c r="B45" s="2">
        <f>HYPERLINK("https://my.zakupivli.pro/remote/dispatcher/state_purchase_view/54619274", "UA-2024-11-07-009977-a")</f>
        <v/>
      </c>
      <c r="C45" t="s" s="2">
        <v>1795</v>
      </c>
      <c r="D45" s="2">
        <f>HYPERLINK("https://my.zakupivli.pro/remote/dispatcher/state_contracting_view/22020549", "UA-2024-11-07-009977-a-c1")</f>
        <v/>
      </c>
      <c r="E45" t="s" s="1">
        <v>1630</v>
      </c>
      <c r="F45" t="s" s="1">
        <v>273</v>
      </c>
      <c r="G45" t="s" s="1">
        <v>2037</v>
      </c>
      <c r="H45" t="s" s="1">
        <v>275</v>
      </c>
      <c r="I45" t="s" s="1">
        <v>1729</v>
      </c>
      <c r="J45" t="s" s="1">
        <v>1786</v>
      </c>
      <c r="K45" t="s" s="1">
        <v>313</v>
      </c>
      <c r="L45" t="s" s="1">
        <v>1149</v>
      </c>
      <c r="M45" t="n" s="4">
        <v>1260</v>
      </c>
      <c r="N45" t="n" s="6">
        <v>45603.0</v>
      </c>
      <c r="O45" t="n" s="6">
        <v>45657.0</v>
      </c>
      <c r="P45" t="s" s="1">
        <v>2009</v>
      </c>
    </row>
    <row r="46" spans="1:16">
      <c r="A46" t="n" s="4">
        <v>42</v>
      </c>
      <c r="B46" s="2">
        <f>HYPERLINK("https://my.zakupivli.pro/remote/dispatcher/state_purchase_view/55106634", "UA-2024-11-25-013920-a")</f>
        <v/>
      </c>
      <c r="C46" t="s" s="2">
        <v>1795</v>
      </c>
      <c r="D46" s="2">
        <f>HYPERLINK("https://my.zakupivli.pro/remote/dispatcher/state_contracting_view/22229662", "UA-2024-11-25-013920-a-a1")</f>
        <v/>
      </c>
      <c r="E46" t="s" s="1">
        <v>54</v>
      </c>
      <c r="F46" t="s" s="1">
        <v>1218</v>
      </c>
      <c r="G46" t="s" s="1">
        <v>2097</v>
      </c>
      <c r="H46" t="s" s="1">
        <v>1222</v>
      </c>
      <c r="I46" t="s" s="1">
        <v>1729</v>
      </c>
      <c r="J46" t="s" s="1">
        <v>1672</v>
      </c>
      <c r="K46" t="s" s="1">
        <v>258</v>
      </c>
      <c r="L46" t="s" s="1">
        <v>1769</v>
      </c>
      <c r="M46" t="n" s="4">
        <v>20000</v>
      </c>
      <c r="N46" t="n" s="6">
        <v>45618.0</v>
      </c>
      <c r="O46" t="n" s="6">
        <v>45657.0</v>
      </c>
      <c r="P46" t="s" s="1">
        <v>2009</v>
      </c>
    </row>
    <row r="47" spans="1:16">
      <c r="A47" t="n" s="4">
        <v>43</v>
      </c>
      <c r="B47" s="2">
        <f>HYPERLINK("https://my.zakupivli.pro/remote/dispatcher/state_purchase_view/55431438", "UA-2024-12-05-005742-a")</f>
        <v/>
      </c>
      <c r="C47" t="s" s="2">
        <v>1795</v>
      </c>
      <c r="D47" s="2">
        <f>HYPERLINK("https://my.zakupivli.pro/remote/dispatcher/state_contracting_view/22368571", "UA-2024-12-05-005742-a-c1")</f>
        <v/>
      </c>
      <c r="E47" t="s" s="1">
        <v>1648</v>
      </c>
      <c r="F47" t="s" s="1">
        <v>421</v>
      </c>
      <c r="G47" t="s" s="1">
        <v>8</v>
      </c>
      <c r="H47" t="s" s="1">
        <v>426</v>
      </c>
      <c r="I47" t="s" s="1">
        <v>1729</v>
      </c>
      <c r="J47" t="s" s="1">
        <v>1953</v>
      </c>
      <c r="K47" t="s" s="1">
        <v>103</v>
      </c>
      <c r="L47" t="s" s="1">
        <v>83</v>
      </c>
      <c r="M47" t="n" s="4">
        <v>31400</v>
      </c>
      <c r="N47" t="n" s="6">
        <v>45631.0</v>
      </c>
      <c r="O47" t="n" s="6">
        <v>45657.0</v>
      </c>
      <c r="P47" t="s" s="1">
        <v>2009</v>
      </c>
    </row>
    <row r="48" spans="1:16">
      <c r="A48" t="n" s="4">
        <v>44</v>
      </c>
      <c r="B48" s="2">
        <f>HYPERLINK("https://my.zakupivli.pro/remote/dispatcher/state_purchase_view/55383783", "UA-2024-12-04-005883-a")</f>
        <v/>
      </c>
      <c r="C48" t="s" s="2">
        <v>1795</v>
      </c>
      <c r="D48" s="2">
        <f>HYPERLINK("https://my.zakupivli.pro/remote/dispatcher/state_contracting_view/22348076", "UA-2024-12-04-005883-a-b1")</f>
        <v/>
      </c>
      <c r="E48" t="s" s="1">
        <v>77</v>
      </c>
      <c r="F48" t="s" s="1">
        <v>1213</v>
      </c>
      <c r="G48" t="s" s="1">
        <v>1845</v>
      </c>
      <c r="H48" t="s" s="1">
        <v>1212</v>
      </c>
      <c r="I48" t="s" s="1">
        <v>1729</v>
      </c>
      <c r="J48" t="s" s="1">
        <v>1691</v>
      </c>
      <c r="K48" t="s" s="1">
        <v>347</v>
      </c>
      <c r="L48" t="s" s="1">
        <v>1200</v>
      </c>
      <c r="M48" t="n" s="4">
        <v>24600</v>
      </c>
      <c r="N48" t="n" s="6">
        <v>45630.0</v>
      </c>
      <c r="O48" t="n" s="6">
        <v>45657.0</v>
      </c>
      <c r="P48" t="s" s="1">
        <v>2009</v>
      </c>
    </row>
    <row r="49" spans="1:16">
      <c r="A49" t="n" s="4">
        <v>45</v>
      </c>
      <c r="B49" s="2">
        <f>HYPERLINK("https://my.zakupivli.pro/remote/dispatcher/state_purchase_view/53360407", "UA-2024-09-17-003016-a")</f>
        <v/>
      </c>
      <c r="C49" t="s" s="2">
        <v>1795</v>
      </c>
      <c r="D49" s="2">
        <f>HYPERLINK("https://my.zakupivli.pro/remote/dispatcher/state_contracting_view/21479209", "UA-2024-09-17-003016-a-a1")</f>
        <v/>
      </c>
      <c r="E49" t="s" s="1">
        <v>1539</v>
      </c>
      <c r="F49" t="s" s="1">
        <v>557</v>
      </c>
      <c r="G49" t="s" s="1">
        <v>557</v>
      </c>
      <c r="H49" t="s" s="1">
        <v>556</v>
      </c>
      <c r="I49" t="s" s="1">
        <v>1729</v>
      </c>
      <c r="J49" t="s" s="1">
        <v>1820</v>
      </c>
      <c r="K49" t="s" s="1">
        <v>250</v>
      </c>
      <c r="L49" t="s" s="1">
        <v>1064</v>
      </c>
      <c r="M49" t="n" s="7">
        <v>4000.0</v>
      </c>
      <c r="N49" t="n" s="6">
        <v>45552.0</v>
      </c>
      <c r="O49" t="n" s="6">
        <v>45657.0</v>
      </c>
      <c r="P49" t="s" s="1">
        <v>2009</v>
      </c>
    </row>
    <row r="50" spans="1:16">
      <c r="A50" t="n" s="4">
        <v>46</v>
      </c>
      <c r="B50" s="2">
        <f>HYPERLINK("https://my.zakupivli.pro/remote/dispatcher/state_purchase_view/53393874", "UA-2024-09-18-003134-a")</f>
        <v/>
      </c>
      <c r="C50" t="s" s="2">
        <v>1795</v>
      </c>
      <c r="D50" s="2">
        <f>HYPERLINK("https://my.zakupivli.pro/remote/dispatcher/state_contracting_view/21493294", "UA-2024-09-18-003134-a-a1")</f>
        <v/>
      </c>
      <c r="E50" t="s" s="1">
        <v>188</v>
      </c>
      <c r="F50" t="s" s="1">
        <v>407</v>
      </c>
      <c r="G50" t="s" s="1">
        <v>413</v>
      </c>
      <c r="H50" t="s" s="1">
        <v>412</v>
      </c>
      <c r="I50" t="s" s="1">
        <v>1729</v>
      </c>
      <c r="J50" t="s" s="1">
        <v>1671</v>
      </c>
      <c r="K50" t="s" s="1">
        <v>257</v>
      </c>
      <c r="L50" t="s" s="1">
        <v>164</v>
      </c>
      <c r="M50" t="n" s="4">
        <v>600</v>
      </c>
      <c r="N50" t="n" s="6">
        <v>45552.0</v>
      </c>
      <c r="O50" t="n" s="6">
        <v>45657.0</v>
      </c>
      <c r="P50" t="s" s="1">
        <v>2009</v>
      </c>
    </row>
    <row r="51" spans="1:16">
      <c r="A51" t="n" s="4">
        <v>47</v>
      </c>
      <c r="B51" s="2">
        <f>HYPERLINK("https://my.zakupivli.pro/remote/dispatcher/state_purchase_view/54143597", "UA-2024-10-21-003635-a")</f>
        <v/>
      </c>
      <c r="C51" t="s" s="2">
        <v>1795</v>
      </c>
      <c r="D51" s="2">
        <f>HYPERLINK("https://my.zakupivli.pro/remote/dispatcher/state_contracting_view/21815140", "UA-2024-10-21-003635-a-a1")</f>
        <v/>
      </c>
      <c r="E51" t="s" s="1">
        <v>1181</v>
      </c>
      <c r="F51" t="s" s="1">
        <v>1089</v>
      </c>
      <c r="G51" t="s" s="1">
        <v>1092</v>
      </c>
      <c r="H51" t="s" s="1">
        <v>1090</v>
      </c>
      <c r="I51" t="s" s="1">
        <v>1729</v>
      </c>
      <c r="J51" t="s" s="1">
        <v>1814</v>
      </c>
      <c r="K51" t="s" s="1">
        <v>994</v>
      </c>
      <c r="L51" t="s" s="1">
        <v>1134</v>
      </c>
      <c r="M51" t="n" s="4">
        <v>41450</v>
      </c>
      <c r="N51" t="n" s="6">
        <v>45586.0</v>
      </c>
      <c r="O51" t="n" s="6">
        <v>45657.0</v>
      </c>
      <c r="P51" t="s" s="1">
        <v>2009</v>
      </c>
    </row>
    <row r="52" spans="1:16">
      <c r="A52" t="n" s="4">
        <v>48</v>
      </c>
      <c r="B52" s="2">
        <f>HYPERLINK("https://my.zakupivli.pro/remote/dispatcher/state_purchase_view/54145835", "UA-2024-10-21-004574-a")</f>
        <v/>
      </c>
      <c r="C52" t="s" s="2">
        <v>1795</v>
      </c>
      <c r="D52" s="2">
        <f>HYPERLINK("https://my.zakupivli.pro/remote/dispatcher/state_contracting_view/21816102", "UA-2024-10-21-004574-a-b1")</f>
        <v/>
      </c>
      <c r="E52" t="s" s="1">
        <v>237</v>
      </c>
      <c r="F52" t="s" s="1">
        <v>933</v>
      </c>
      <c r="G52" t="s" s="1">
        <v>937</v>
      </c>
      <c r="H52" t="s" s="1">
        <v>936</v>
      </c>
      <c r="I52" t="s" s="1">
        <v>1729</v>
      </c>
      <c r="J52" t="s" s="1">
        <v>1904</v>
      </c>
      <c r="K52" t="s" s="1">
        <v>836</v>
      </c>
      <c r="L52" t="s" s="1">
        <v>1139</v>
      </c>
      <c r="M52" t="n" s="4">
        <v>67700</v>
      </c>
      <c r="N52" t="n" s="6">
        <v>45586.0</v>
      </c>
      <c r="O52" t="n" s="6">
        <v>45657.0</v>
      </c>
      <c r="P52" t="s" s="1">
        <v>2009</v>
      </c>
    </row>
    <row r="53" spans="1:16">
      <c r="A53" t="n" s="4">
        <v>49</v>
      </c>
      <c r="B53" s="2">
        <f>HYPERLINK("https://my.zakupivli.pro/remote/dispatcher/state_purchase_view/55251735", "UA-2024-11-29-004540-a")</f>
        <v/>
      </c>
      <c r="C53" s="2">
        <f>HYPERLINK("https://my.zakupivli.pro/remote/dispatcher/state_purchase_lot_view/1476858", "UA-2024-11-29-004540-a-L1476858")</f>
        <v/>
      </c>
      <c r="D53" s="2">
        <f>HYPERLINK("https://my.zakupivli.pro/remote/dispatcher/state_contracting_view/22420554", "UA-2024-11-29-004540-a-c1")</f>
        <v/>
      </c>
      <c r="E53" t="s" s="1">
        <v>1435</v>
      </c>
      <c r="F53" t="s" s="1">
        <v>773</v>
      </c>
      <c r="G53" t="s" s="1">
        <v>1722</v>
      </c>
      <c r="H53" t="s" s="1">
        <v>775</v>
      </c>
      <c r="I53" t="s" s="1">
        <v>1697</v>
      </c>
      <c r="J53" t="s" s="1">
        <v>2005</v>
      </c>
      <c r="K53" t="s" s="1">
        <v>366</v>
      </c>
      <c r="L53" t="s" s="1">
        <v>1208</v>
      </c>
      <c r="M53" t="n" s="7">
        <v>320760.0</v>
      </c>
      <c r="N53" t="n" s="6">
        <v>45643.0</v>
      </c>
      <c r="O53" t="n" s="6">
        <v>45657.0</v>
      </c>
      <c r="P53" t="s" s="1">
        <v>2036</v>
      </c>
    </row>
    <row r="54" spans="1:16">
      <c r="A54" t="n" s="4">
        <v>50</v>
      </c>
      <c r="B54" s="2">
        <f>HYPERLINK("https://my.zakupivli.pro/remote/dispatcher/state_purchase_view/48216719", "UA-2024-01-08-004114-a")</f>
        <v/>
      </c>
      <c r="C54" t="s" s="2">
        <v>1795</v>
      </c>
      <c r="D54" s="2">
        <f>HYPERLINK("https://my.zakupivli.pro/remote/dispatcher/state_contracting_view/18851054", "UA-2024-01-08-004114-a-c1")</f>
        <v/>
      </c>
      <c r="E54" t="s" s="1">
        <v>909</v>
      </c>
      <c r="F54" t="s" s="1">
        <v>1218</v>
      </c>
      <c r="G54" t="s" s="1">
        <v>2097</v>
      </c>
      <c r="H54" t="s" s="1">
        <v>1217</v>
      </c>
      <c r="I54" t="s" s="1">
        <v>1729</v>
      </c>
      <c r="J54" t="s" s="1">
        <v>1672</v>
      </c>
      <c r="K54" t="s" s="1">
        <v>258</v>
      </c>
      <c r="L54" t="s" s="1">
        <v>1768</v>
      </c>
      <c r="M54" t="n" s="7">
        <v>85000.0</v>
      </c>
      <c r="N54" t="n" s="6">
        <v>45295.0</v>
      </c>
      <c r="O54" t="n" s="6">
        <v>45657.0</v>
      </c>
      <c r="P54" t="s" s="1">
        <v>2009</v>
      </c>
    </row>
    <row r="55" spans="1:16">
      <c r="A55" t="n" s="4">
        <v>51</v>
      </c>
      <c r="B55" s="2">
        <f>HYPERLINK("https://my.zakupivli.pro/remote/dispatcher/state_purchase_view/48263597", "UA-2024-01-10-007197-a")</f>
        <v/>
      </c>
      <c r="C55" t="s" s="2">
        <v>1795</v>
      </c>
      <c r="D55" s="2">
        <f>HYPERLINK("https://my.zakupivli.pro/remote/dispatcher/state_contracting_view/18868842", "UA-2024-01-10-007197-a-a1")</f>
        <v/>
      </c>
      <c r="E55" t="s" s="1">
        <v>296</v>
      </c>
      <c r="F55" t="s" s="1">
        <v>214</v>
      </c>
      <c r="G55" t="s" s="1">
        <v>217</v>
      </c>
      <c r="H55" t="s" s="1">
        <v>216</v>
      </c>
      <c r="I55" t="s" s="1">
        <v>1729</v>
      </c>
      <c r="J55" t="s" s="1">
        <v>1941</v>
      </c>
      <c r="K55" t="s" s="1">
        <v>317</v>
      </c>
      <c r="L55" t="s" s="1">
        <v>160</v>
      </c>
      <c r="M55" t="n" s="7">
        <v>7020.0</v>
      </c>
      <c r="N55" t="n" s="6">
        <v>45300.0</v>
      </c>
      <c r="O55" t="n" s="6">
        <v>45657.0</v>
      </c>
      <c r="P55" t="s" s="1">
        <v>2009</v>
      </c>
    </row>
    <row r="56" spans="1:16">
      <c r="A56" t="n" s="4">
        <v>52</v>
      </c>
      <c r="B56" s="2">
        <f>HYPERLINK("https://my.zakupivli.pro/remote/dispatcher/state_purchase_view/48927256", "UA-2024-02-05-005450-a")</f>
        <v/>
      </c>
      <c r="C56" t="s" s="2">
        <v>1795</v>
      </c>
      <c r="D56" s="2">
        <f>HYPERLINK("https://my.zakupivli.pro/remote/dispatcher/state_contracting_view/19147922", "UA-2024-02-05-005450-a-c1")</f>
        <v/>
      </c>
      <c r="E56" t="s" s="1">
        <v>1168</v>
      </c>
      <c r="F56" t="s" s="1">
        <v>982</v>
      </c>
      <c r="G56" t="s" s="1">
        <v>984</v>
      </c>
      <c r="H56" t="s" s="1">
        <v>983</v>
      </c>
      <c r="I56" t="s" s="1">
        <v>1729</v>
      </c>
      <c r="J56" t="s" s="1">
        <v>1911</v>
      </c>
      <c r="K56" t="s" s="1">
        <v>723</v>
      </c>
      <c r="L56" t="s" s="1">
        <v>1426</v>
      </c>
      <c r="M56" t="n" s="7">
        <v>15236.03</v>
      </c>
      <c r="N56" t="n" s="6">
        <v>45327.0</v>
      </c>
      <c r="O56" t="n" s="6">
        <v>45657.0</v>
      </c>
      <c r="P56" t="s" s="1">
        <v>2009</v>
      </c>
    </row>
    <row r="57" spans="1:16">
      <c r="A57" t="n" s="4">
        <v>53</v>
      </c>
      <c r="B57" s="2">
        <f>HYPERLINK("https://my.zakupivli.pro/remote/dispatcher/state_purchase_view/50717080", "UA-2024-04-29-005992-a")</f>
        <v/>
      </c>
      <c r="C57" s="2">
        <f>HYPERLINK("https://my.zakupivli.pro/remote/dispatcher/state_purchase_lot_view/1270919", "UA-2024-04-29-005992-a-L1270919")</f>
        <v/>
      </c>
      <c r="D57" s="2">
        <f>HYPERLINK("https://my.zakupivli.pro/remote/dispatcher/state_contracting_view/20255694", "UA-2024-04-29-005992-a-b1")</f>
        <v/>
      </c>
      <c r="E57" t="s" s="1">
        <v>1523</v>
      </c>
      <c r="F57" t="s" s="1">
        <v>942</v>
      </c>
      <c r="G57" t="s" s="1">
        <v>1835</v>
      </c>
      <c r="H57" t="s" s="1">
        <v>945</v>
      </c>
      <c r="I57" t="s" s="1">
        <v>1697</v>
      </c>
      <c r="J57" t="s" s="1">
        <v>1932</v>
      </c>
      <c r="K57" t="s" s="1">
        <v>719</v>
      </c>
      <c r="L57" t="s" s="1">
        <v>363</v>
      </c>
      <c r="M57" t="n" s="7">
        <v>53464.32</v>
      </c>
      <c r="N57" t="n" s="6">
        <v>45434.0</v>
      </c>
      <c r="O57" t="n" s="6">
        <v>45657.0</v>
      </c>
      <c r="P57" t="s" s="1">
        <v>2036</v>
      </c>
    </row>
    <row r="58" spans="1:16">
      <c r="A58" t="n" s="4">
        <v>54</v>
      </c>
      <c r="B58" s="2">
        <f>HYPERLINK("https://my.zakupivli.pro/remote/dispatcher/state_purchase_view/50898260", "UA-2024-05-09-001242-a")</f>
        <v/>
      </c>
      <c r="C58" t="s" s="2">
        <v>1795</v>
      </c>
      <c r="D58" s="2">
        <f>HYPERLINK("https://my.zakupivli.pro/remote/dispatcher/state_contracting_view/20255932", "UA-2024-05-09-001242-a-c1")</f>
        <v/>
      </c>
      <c r="E58" t="s" s="1">
        <v>1174</v>
      </c>
      <c r="F58" t="s" s="1">
        <v>780</v>
      </c>
      <c r="G58" t="s" s="1">
        <v>780</v>
      </c>
      <c r="H58" t="s" s="1">
        <v>781</v>
      </c>
      <c r="I58" t="s" s="1">
        <v>1729</v>
      </c>
      <c r="J58" t="s" s="1">
        <v>1799</v>
      </c>
      <c r="K58" t="s" s="1">
        <v>339</v>
      </c>
      <c r="L58" t="s" s="1">
        <v>343</v>
      </c>
      <c r="M58" t="n" s="7">
        <v>42680.0</v>
      </c>
      <c r="N58" t="n" s="6">
        <v>45420.0</v>
      </c>
      <c r="O58" t="n" s="6">
        <v>45657.0</v>
      </c>
      <c r="P58" t="s" s="1">
        <v>2009</v>
      </c>
    </row>
    <row r="59" spans="1:16">
      <c r="A59" t="n" s="4">
        <v>55</v>
      </c>
      <c r="B59" s="2">
        <f>HYPERLINK("https://my.zakupivli.pro/remote/dispatcher/state_purchase_view/50903085", "UA-2024-05-09-003348-a")</f>
        <v/>
      </c>
      <c r="C59" t="s" s="2">
        <v>1795</v>
      </c>
      <c r="D59" s="2">
        <f>HYPERLINK("https://my.zakupivli.pro/remote/dispatcher/state_contracting_view/20257964", "UA-2024-05-09-003348-a-b1")</f>
        <v/>
      </c>
      <c r="E59" t="s" s="1">
        <v>20</v>
      </c>
      <c r="F59" t="s" s="1">
        <v>1418</v>
      </c>
      <c r="G59" t="s" s="1">
        <v>1418</v>
      </c>
      <c r="H59" t="s" s="1">
        <v>1416</v>
      </c>
      <c r="I59" t="s" s="1">
        <v>1729</v>
      </c>
      <c r="J59" t="s" s="1">
        <v>1826</v>
      </c>
      <c r="K59" t="s" s="1">
        <v>819</v>
      </c>
      <c r="L59" t="s" s="1">
        <v>62</v>
      </c>
      <c r="M59" t="n" s="7">
        <v>5800.0</v>
      </c>
      <c r="N59" t="n" s="6">
        <v>45420.0</v>
      </c>
      <c r="O59" t="n" s="6">
        <v>45657.0</v>
      </c>
      <c r="P59" t="s" s="1">
        <v>2009</v>
      </c>
    </row>
    <row r="60" spans="1:16">
      <c r="A60" t="n" s="4">
        <v>56</v>
      </c>
      <c r="B60" s="2">
        <f>HYPERLINK("https://my.zakupivli.pro/remote/dispatcher/state_purchase_view/50731584", "UA-2024-04-30-000698-a")</f>
        <v/>
      </c>
      <c r="C60" t="s" s="2">
        <v>1795</v>
      </c>
      <c r="D60" s="2">
        <f>HYPERLINK("https://my.zakupivli.pro/remote/dispatcher/state_contracting_view/19931342", "UA-2024-04-30-000698-a-b1")</f>
        <v/>
      </c>
      <c r="E60" t="s" s="1">
        <v>1446</v>
      </c>
      <c r="F60" t="s" s="1">
        <v>1112</v>
      </c>
      <c r="G60" t="s" s="1">
        <v>1112</v>
      </c>
      <c r="H60" t="s" s="1">
        <v>1110</v>
      </c>
      <c r="I60" t="s" s="1">
        <v>1729</v>
      </c>
      <c r="J60" t="s" s="1">
        <v>1948</v>
      </c>
      <c r="K60" t="s" s="1">
        <v>35</v>
      </c>
      <c r="L60" t="s" s="1">
        <v>1449</v>
      </c>
      <c r="M60" t="n" s="7">
        <v>7800.0</v>
      </c>
      <c r="N60" t="n" s="6">
        <v>45411.0</v>
      </c>
      <c r="O60" t="n" s="6">
        <v>45657.0</v>
      </c>
      <c r="P60" t="s" s="1">
        <v>2009</v>
      </c>
    </row>
    <row r="61" spans="1:16">
      <c r="A61" t="n" s="4">
        <v>57</v>
      </c>
      <c r="B61" s="2">
        <f>HYPERLINK("https://my.zakupivli.pro/remote/dispatcher/state_purchase_view/50079298", "UA-2024-03-28-002553-a")</f>
        <v/>
      </c>
      <c r="C61" t="s" s="2">
        <v>1795</v>
      </c>
      <c r="D61" s="2">
        <f>HYPERLINK("https://my.zakupivli.pro/remote/dispatcher/state_contracting_view/19643167", "UA-2024-03-28-002553-a-b1")</f>
        <v/>
      </c>
      <c r="E61" t="s" s="1">
        <v>135</v>
      </c>
      <c r="F61" t="s" s="1">
        <v>1473</v>
      </c>
      <c r="G61" t="s" s="1">
        <v>1474</v>
      </c>
      <c r="H61" t="s" s="1">
        <v>1472</v>
      </c>
      <c r="I61" t="s" s="1">
        <v>1729</v>
      </c>
      <c r="J61" t="s" s="1">
        <v>1738</v>
      </c>
      <c r="K61" t="s" s="1">
        <v>529</v>
      </c>
      <c r="L61" t="s" s="1">
        <v>167</v>
      </c>
      <c r="M61" t="n" s="7">
        <v>49990.0</v>
      </c>
      <c r="N61" t="n" s="6">
        <v>45379.0</v>
      </c>
      <c r="O61" t="n" s="6">
        <v>45657.0</v>
      </c>
      <c r="P61" t="s" s="1">
        <v>2009</v>
      </c>
    </row>
    <row r="62" spans="1:16">
      <c r="A62" t="n" s="4">
        <v>58</v>
      </c>
      <c r="B62" s="2">
        <f>HYPERLINK("https://my.zakupivli.pro/remote/dispatcher/state_purchase_view/49534185", "UA-2024-03-01-007393-a")</f>
        <v/>
      </c>
      <c r="C62" t="s" s="2">
        <v>1795</v>
      </c>
      <c r="D62" s="2">
        <f>HYPERLINK("https://my.zakupivli.pro/remote/dispatcher/state_contracting_view/19408159", "UA-2024-03-01-007393-a-b1")</f>
        <v/>
      </c>
      <c r="E62" t="s" s="1">
        <v>1599</v>
      </c>
      <c r="F62" t="s" s="1">
        <v>282</v>
      </c>
      <c r="G62" t="s" s="1">
        <v>2041</v>
      </c>
      <c r="H62" t="s" s="1">
        <v>279</v>
      </c>
      <c r="I62" t="s" s="1">
        <v>1729</v>
      </c>
      <c r="J62" t="s" s="1">
        <v>1786</v>
      </c>
      <c r="K62" t="s" s="1">
        <v>313</v>
      </c>
      <c r="L62" t="s" s="1">
        <v>105</v>
      </c>
      <c r="M62" t="n" s="7">
        <v>49985.0</v>
      </c>
      <c r="N62" t="n" s="6">
        <v>45351.0</v>
      </c>
      <c r="O62" t="n" s="6">
        <v>45657.0</v>
      </c>
      <c r="P62" t="s" s="1">
        <v>2009</v>
      </c>
    </row>
    <row r="63" spans="1:16">
      <c r="A63" t="n" s="4">
        <v>59</v>
      </c>
      <c r="B63" s="2">
        <f>HYPERLINK("https://my.zakupivli.pro/remote/dispatcher/state_purchase_view/48596632", "UA-2024-01-23-010090-a")</f>
        <v/>
      </c>
      <c r="C63" t="s" s="2">
        <v>1795</v>
      </c>
      <c r="D63" s="2">
        <f>HYPERLINK("https://my.zakupivli.pro/remote/dispatcher/state_contracting_view/19005690", "UA-2024-01-23-010090-a-c1")</f>
        <v/>
      </c>
      <c r="E63" t="s" s="1">
        <v>1534</v>
      </c>
      <c r="F63" t="s" s="1">
        <v>214</v>
      </c>
      <c r="G63" t="s" s="1">
        <v>7</v>
      </c>
      <c r="H63" t="s" s="1">
        <v>216</v>
      </c>
      <c r="I63" t="s" s="1">
        <v>1729</v>
      </c>
      <c r="J63" t="s" s="1">
        <v>1941</v>
      </c>
      <c r="K63" t="s" s="1">
        <v>317</v>
      </c>
      <c r="L63" t="s" s="1">
        <v>1055</v>
      </c>
      <c r="M63" t="n" s="7">
        <v>8073.0</v>
      </c>
      <c r="N63" t="n" s="6">
        <v>45313.0</v>
      </c>
      <c r="O63" t="n" s="6">
        <v>45657.0</v>
      </c>
      <c r="P63" t="s" s="1">
        <v>2009</v>
      </c>
    </row>
    <row r="64" spans="1:16">
      <c r="A64" t="n" s="4">
        <v>60</v>
      </c>
      <c r="B64" s="2">
        <f>HYPERLINK("https://my.zakupivli.pro/remote/dispatcher/state_purchase_view/51326351", "UA-2024-05-30-001823-a")</f>
        <v/>
      </c>
      <c r="C64" t="s" s="2">
        <v>1795</v>
      </c>
      <c r="D64" s="2">
        <f>HYPERLINK("https://my.zakupivli.pro/remote/dispatcher/state_contracting_view/20598076", "UA-2024-05-30-001823-a-a1")</f>
        <v/>
      </c>
      <c r="E64" t="s" s="1">
        <v>390</v>
      </c>
      <c r="F64" t="s" s="1">
        <v>1011</v>
      </c>
      <c r="G64" t="s" s="1">
        <v>2043</v>
      </c>
      <c r="H64" t="s" s="1">
        <v>1008</v>
      </c>
      <c r="I64" t="s" s="1">
        <v>1729</v>
      </c>
      <c r="J64" t="s" s="1">
        <v>1770</v>
      </c>
      <c r="K64" t="s" s="1">
        <v>416</v>
      </c>
      <c r="L64" t="s" s="1">
        <v>369</v>
      </c>
      <c r="M64" t="n" s="4">
        <v>4800</v>
      </c>
      <c r="N64" t="n" s="6">
        <v>45441.0</v>
      </c>
      <c r="O64" t="n" s="6">
        <v>45657.0</v>
      </c>
      <c r="P64" t="s" s="1">
        <v>2009</v>
      </c>
    </row>
    <row r="65" spans="1:16">
      <c r="A65" t="n" s="4">
        <v>61</v>
      </c>
      <c r="B65" s="2">
        <f>HYPERLINK("https://my.zakupivli.pro/remote/dispatcher/state_purchase_view/51486396", "UA-2024-06-07-002733-a")</f>
        <v/>
      </c>
      <c r="C65" t="s" s="2">
        <v>1795</v>
      </c>
      <c r="D65" s="2">
        <f>HYPERLINK("https://my.zakupivli.pro/remote/dispatcher/state_contracting_view/20667516", "UA-2024-06-07-002733-a-a1")</f>
        <v/>
      </c>
      <c r="E65" t="s" s="1">
        <v>1445</v>
      </c>
      <c r="F65" t="s" s="1">
        <v>1351</v>
      </c>
      <c r="G65" t="s" s="1">
        <v>2110</v>
      </c>
      <c r="H65" t="s" s="1">
        <v>1352</v>
      </c>
      <c r="I65" t="s" s="1">
        <v>1729</v>
      </c>
      <c r="J65" t="s" s="1">
        <v>1761</v>
      </c>
      <c r="K65" t="s" s="1">
        <v>654</v>
      </c>
      <c r="L65" t="s" s="1">
        <v>1788</v>
      </c>
      <c r="M65" t="n" s="4">
        <v>5346</v>
      </c>
      <c r="N65" t="n" s="6">
        <v>45449.0</v>
      </c>
      <c r="O65" t="n" s="6">
        <v>45657.0</v>
      </c>
      <c r="P65" t="s" s="1">
        <v>2009</v>
      </c>
    </row>
    <row r="66" spans="1:16">
      <c r="A66" t="n" s="4">
        <v>62</v>
      </c>
      <c r="B66" s="2">
        <f>HYPERLINK("https://my.zakupivli.pro/remote/dispatcher/state_purchase_view/51501071", "UA-2024-06-07-009189-a")</f>
        <v/>
      </c>
      <c r="C66" t="s" s="2">
        <v>1795</v>
      </c>
      <c r="D66" s="2">
        <f>HYPERLINK("https://my.zakupivli.pro/remote/dispatcher/state_contracting_view/20673824", "UA-2024-06-07-009189-a-b1")</f>
        <v/>
      </c>
      <c r="E66" t="s" s="1">
        <v>675</v>
      </c>
      <c r="F66" t="s" s="1">
        <v>444</v>
      </c>
      <c r="G66" t="s" s="1">
        <v>2038</v>
      </c>
      <c r="H66" t="s" s="1">
        <v>442</v>
      </c>
      <c r="I66" t="s" s="1">
        <v>1729</v>
      </c>
      <c r="J66" t="s" s="1">
        <v>1991</v>
      </c>
      <c r="K66" t="s" s="1">
        <v>617</v>
      </c>
      <c r="L66" t="s" s="1">
        <v>429</v>
      </c>
      <c r="M66" t="n" s="4">
        <v>34860</v>
      </c>
      <c r="N66" t="n" s="6">
        <v>45450.0</v>
      </c>
      <c r="O66" t="n" s="6">
        <v>45657.0</v>
      </c>
      <c r="P66" t="s" s="1">
        <v>2009</v>
      </c>
    </row>
    <row r="67" spans="1:16">
      <c r="A67" t="n" s="4">
        <v>63</v>
      </c>
      <c r="B67" s="2">
        <f>HYPERLINK("https://my.zakupivli.pro/remote/dispatcher/state_purchase_view/52741198", "UA-2024-08-16-000557-a")</f>
        <v/>
      </c>
      <c r="C67" t="s" s="2">
        <v>1795</v>
      </c>
      <c r="D67" s="2">
        <f>HYPERLINK("https://my.zakupivli.pro/remote/dispatcher/state_contracting_view/21212789", "UA-2024-08-16-000557-a-b1")</f>
        <v/>
      </c>
      <c r="E67" t="s" s="1">
        <v>1602</v>
      </c>
      <c r="F67" t="s" s="1">
        <v>1107</v>
      </c>
      <c r="G67" t="s" s="1">
        <v>2017</v>
      </c>
      <c r="H67" t="s" s="1">
        <v>1110</v>
      </c>
      <c r="I67" t="s" s="1">
        <v>1729</v>
      </c>
      <c r="J67" t="s" s="1">
        <v>1949</v>
      </c>
      <c r="K67" t="s" s="1">
        <v>562</v>
      </c>
      <c r="L67" t="s" s="1">
        <v>725</v>
      </c>
      <c r="M67" t="n" s="4">
        <v>36000</v>
      </c>
      <c r="N67" t="n" s="6">
        <v>45519.0</v>
      </c>
      <c r="O67" t="n" s="6">
        <v>45657.0</v>
      </c>
      <c r="P67" t="s" s="1">
        <v>2009</v>
      </c>
    </row>
    <row r="68" spans="1:16">
      <c r="A68" t="n" s="4">
        <v>64</v>
      </c>
      <c r="B68" s="2">
        <f>HYPERLINK("https://my.zakupivli.pro/remote/dispatcher/state_purchase_view/53197774", "UA-2024-09-10-002180-a")</f>
        <v/>
      </c>
      <c r="C68" t="s" s="2">
        <v>1795</v>
      </c>
      <c r="D68" s="2">
        <f>HYPERLINK("https://my.zakupivli.pro/remote/dispatcher/state_contracting_view/21410279", "UA-2024-09-10-002180-a-b1")</f>
        <v/>
      </c>
      <c r="E68" t="s" s="1">
        <v>1443</v>
      </c>
      <c r="F68" t="s" s="1">
        <v>511</v>
      </c>
      <c r="G68" t="s" s="1">
        <v>2098</v>
      </c>
      <c r="H68" t="s" s="1">
        <v>510</v>
      </c>
      <c r="I68" t="s" s="1">
        <v>1729</v>
      </c>
      <c r="J68" t="s" s="1">
        <v>1661</v>
      </c>
      <c r="K68" t="s" s="1">
        <v>351</v>
      </c>
      <c r="L68" t="s" s="1">
        <v>832</v>
      </c>
      <c r="M68" t="n" s="4">
        <v>9400</v>
      </c>
      <c r="N68" t="n" s="6">
        <v>45544.0</v>
      </c>
      <c r="O68" t="n" s="6">
        <v>45657.0</v>
      </c>
      <c r="P68" t="s" s="1">
        <v>2009</v>
      </c>
    </row>
    <row r="69" spans="1:16">
      <c r="A69" t="n" s="4">
        <v>65</v>
      </c>
      <c r="B69" s="2">
        <f>HYPERLINK("https://my.zakupivli.pro/remote/dispatcher/state_purchase_view/52893622", "UA-2024-08-23-008964-a")</f>
        <v/>
      </c>
      <c r="C69" t="s" s="2">
        <v>1795</v>
      </c>
      <c r="D69" s="2">
        <f>HYPERLINK("https://my.zakupivli.pro/remote/dispatcher/state_contracting_view/21279564", "UA-2024-08-23-008964-a-b1")</f>
        <v/>
      </c>
      <c r="E69" t="s" s="1">
        <v>1280</v>
      </c>
      <c r="F69" t="s" s="1">
        <v>737</v>
      </c>
      <c r="G69" t="s" s="1">
        <v>738</v>
      </c>
      <c r="H69" t="s" s="1">
        <v>741</v>
      </c>
      <c r="I69" t="s" s="1">
        <v>1729</v>
      </c>
      <c r="J69" t="s" s="1">
        <v>1815</v>
      </c>
      <c r="K69" t="s" s="1">
        <v>648</v>
      </c>
      <c r="L69" t="s" s="1">
        <v>793</v>
      </c>
      <c r="M69" t="n" s="4">
        <v>49344</v>
      </c>
      <c r="N69" t="n" s="6">
        <v>45527.0</v>
      </c>
      <c r="O69" t="n" s="6">
        <v>45657.0</v>
      </c>
      <c r="P69" t="s" s="1">
        <v>2009</v>
      </c>
    </row>
    <row r="70" spans="1:16">
      <c r="A70" t="n" s="4">
        <v>66</v>
      </c>
      <c r="B70" s="2">
        <f>HYPERLINK("https://my.zakupivli.pro/remote/dispatcher/state_purchase_view/52894153", "UA-2024-08-23-009181-a")</f>
        <v/>
      </c>
      <c r="C70" t="s" s="2">
        <v>1795</v>
      </c>
      <c r="D70" s="2">
        <f>HYPERLINK("https://my.zakupivli.pro/remote/dispatcher/state_contracting_view/21279846", "UA-2024-08-23-009181-a-a1")</f>
        <v/>
      </c>
      <c r="E70" t="s" s="1">
        <v>235</v>
      </c>
      <c r="F70" t="s" s="1">
        <v>222</v>
      </c>
      <c r="G70" t="s" s="1">
        <v>222</v>
      </c>
      <c r="H70" t="s" s="1">
        <v>220</v>
      </c>
      <c r="I70" t="s" s="1">
        <v>1729</v>
      </c>
      <c r="J70" t="s" s="1">
        <v>1815</v>
      </c>
      <c r="K70" t="s" s="1">
        <v>648</v>
      </c>
      <c r="L70" t="s" s="1">
        <v>806</v>
      </c>
      <c r="M70" t="n" s="4">
        <v>30600</v>
      </c>
      <c r="N70" t="n" s="6">
        <v>45527.0</v>
      </c>
      <c r="O70" t="n" s="6">
        <v>45657.0</v>
      </c>
      <c r="P70" t="s" s="1">
        <v>2009</v>
      </c>
    </row>
    <row r="71" spans="1:16">
      <c r="A71" t="n" s="4">
        <v>67</v>
      </c>
      <c r="B71" s="2">
        <f>HYPERLINK("https://my.zakupivli.pro/remote/dispatcher/state_purchase_view/52673207", "UA-2024-08-13-005997-a")</f>
        <v/>
      </c>
      <c r="C71" t="s" s="2">
        <v>1795</v>
      </c>
      <c r="D71" s="2">
        <f>HYPERLINK("https://my.zakupivli.pro/remote/dispatcher/state_contracting_view/21183865", "UA-2024-08-13-005997-a-a1")</f>
        <v/>
      </c>
      <c r="E71" t="s" s="1">
        <v>57</v>
      </c>
      <c r="F71" t="s" s="1">
        <v>536</v>
      </c>
      <c r="G71" t="s" s="1">
        <v>538</v>
      </c>
      <c r="H71" t="s" s="1">
        <v>537</v>
      </c>
      <c r="I71" t="s" s="1">
        <v>1729</v>
      </c>
      <c r="J71" t="s" s="1">
        <v>1955</v>
      </c>
      <c r="K71" t="s" s="1">
        <v>112</v>
      </c>
      <c r="L71" t="s" s="1">
        <v>695</v>
      </c>
      <c r="M71" t="n" s="7">
        <v>29760.0</v>
      </c>
      <c r="N71" t="n" s="6">
        <v>45517.0</v>
      </c>
      <c r="O71" t="n" s="6">
        <v>45657.0</v>
      </c>
      <c r="P71" t="s" s="1">
        <v>2009</v>
      </c>
    </row>
    <row r="72" spans="1:16">
      <c r="A72" t="n" s="4">
        <v>68</v>
      </c>
      <c r="B72" s="2">
        <f>HYPERLINK("https://my.zakupivli.pro/remote/dispatcher/state_purchase_view/50279038", "UA-2024-04-08-007682-a")</f>
        <v/>
      </c>
      <c r="C72" s="2">
        <f>HYPERLINK("https://my.zakupivli.pro/remote/dispatcher/state_purchase_lot_view/1252804", "UA-2024-04-08-007682-a-L1252804")</f>
        <v/>
      </c>
      <c r="D72" s="2">
        <f>HYPERLINK("https://my.zakupivli.pro/remote/dispatcher/state_contracting_view/19820539", "UA-2024-04-08-007682-a-a1")</f>
        <v/>
      </c>
      <c r="E72" t="s" s="1">
        <v>554</v>
      </c>
      <c r="F72" t="s" s="1">
        <v>130</v>
      </c>
      <c r="G72" t="s" s="1">
        <v>1868</v>
      </c>
      <c r="H72" t="s" s="1">
        <v>128</v>
      </c>
      <c r="I72" t="s" s="1">
        <v>1697</v>
      </c>
      <c r="J72" t="s" s="1">
        <v>1928</v>
      </c>
      <c r="K72" t="s" s="1">
        <v>997</v>
      </c>
      <c r="L72" t="s" s="1">
        <v>336</v>
      </c>
      <c r="M72" t="n" s="7">
        <v>750000.0</v>
      </c>
      <c r="N72" t="n" s="6">
        <v>45411.0</v>
      </c>
      <c r="O72" t="n" s="6">
        <v>45657.0</v>
      </c>
      <c r="P72" t="s" s="1">
        <v>2036</v>
      </c>
    </row>
    <row r="73" spans="1:16">
      <c r="A73" t="n" s="4">
        <v>69</v>
      </c>
      <c r="B73" s="2">
        <f>HYPERLINK("https://my.zakupivli.pro/remote/dispatcher/state_purchase_view/49006679", "UA-2024-02-07-008586-a")</f>
        <v/>
      </c>
      <c r="C73" t="s" s="2">
        <v>1795</v>
      </c>
      <c r="D73" s="2">
        <f>HYPERLINK("https://my.zakupivli.pro/remote/dispatcher/state_contracting_view/19181597", "UA-2024-02-07-008586-a-b1")</f>
        <v/>
      </c>
      <c r="E73" t="s" s="1">
        <v>1394</v>
      </c>
      <c r="F73" t="s" s="1">
        <v>268</v>
      </c>
      <c r="G73" t="s" s="1">
        <v>1856</v>
      </c>
      <c r="H73" t="s" s="1">
        <v>269</v>
      </c>
      <c r="I73" t="s" s="1">
        <v>1729</v>
      </c>
      <c r="J73" t="s" s="1">
        <v>1810</v>
      </c>
      <c r="K73" t="s" s="1">
        <v>249</v>
      </c>
      <c r="L73" t="s" s="1">
        <v>1478</v>
      </c>
      <c r="M73" t="n" s="7">
        <v>245400.0</v>
      </c>
      <c r="N73" t="n" s="6">
        <v>45329.0</v>
      </c>
      <c r="O73" t="n" s="6">
        <v>45657.0</v>
      </c>
      <c r="P73" t="s" s="1">
        <v>2036</v>
      </c>
    </row>
    <row r="74" spans="1:16">
      <c r="A74" t="n" s="4">
        <v>70</v>
      </c>
      <c r="B74" s="2">
        <f>HYPERLINK("https://my.zakupivli.pro/remote/dispatcher/state_purchase_view/51383182", "UA-2024-06-03-006976-a")</f>
        <v/>
      </c>
      <c r="C74" s="2">
        <f>HYPERLINK("https://my.zakupivli.pro/remote/dispatcher/state_purchase_lot_view/1300725", "UA-2024-06-03-006976-a-L1300725")</f>
        <v/>
      </c>
      <c r="D74" s="2">
        <f>HYPERLINK("https://my.zakupivli.pro/remote/dispatcher/state_contracting_view/20692816", "UA-2024-06-03-006976-a-b1")</f>
        <v/>
      </c>
      <c r="E74" t="s" s="1">
        <v>1560</v>
      </c>
      <c r="F74" t="s" s="1">
        <v>943</v>
      </c>
      <c r="G74" t="s" s="1">
        <v>1775</v>
      </c>
      <c r="H74" t="s" s="1">
        <v>946</v>
      </c>
      <c r="I74" t="s" s="1">
        <v>1697</v>
      </c>
      <c r="J74" t="s" s="1">
        <v>1803</v>
      </c>
      <c r="K74" t="s" s="1">
        <v>825</v>
      </c>
      <c r="L74" t="s" s="1">
        <v>547</v>
      </c>
      <c r="M74" t="n" s="7">
        <v>368385.89</v>
      </c>
      <c r="N74" t="n" s="6">
        <v>45464.0</v>
      </c>
      <c r="O74" t="n" s="6">
        <v>45657.0</v>
      </c>
      <c r="P74" t="s" s="1">
        <v>2036</v>
      </c>
    </row>
    <row r="75" spans="1:16">
      <c r="A75" t="n" s="4">
        <v>71</v>
      </c>
      <c r="B75" s="2">
        <f>HYPERLINK("https://my.zakupivli.pro/remote/dispatcher/state_purchase_view/52574115", "UA-2024-08-07-008849-a")</f>
        <v/>
      </c>
      <c r="C75" t="s" s="2">
        <v>1795</v>
      </c>
      <c r="D75" s="2">
        <f>HYPERLINK("https://my.zakupivli.pro/remote/dispatcher/state_contracting_view/21140883", "UA-2024-08-07-008849-a-b1")</f>
        <v/>
      </c>
      <c r="E75" t="s" s="1">
        <v>52</v>
      </c>
      <c r="F75" t="s" s="1">
        <v>130</v>
      </c>
      <c r="G75" t="s" s="1">
        <v>1867</v>
      </c>
      <c r="H75" t="s" s="1">
        <v>128</v>
      </c>
      <c r="I75" t="s" s="1">
        <v>1729</v>
      </c>
      <c r="J75" t="s" s="1">
        <v>1946</v>
      </c>
      <c r="K75" t="s" s="1">
        <v>681</v>
      </c>
      <c r="L75" t="s" s="1">
        <v>688</v>
      </c>
      <c r="M75" t="n" s="4">
        <v>30800</v>
      </c>
      <c r="N75" t="n" s="6">
        <v>45511.0</v>
      </c>
      <c r="O75" t="n" s="6">
        <v>45657.0</v>
      </c>
      <c r="P75" t="s" s="1">
        <v>2036</v>
      </c>
    </row>
    <row r="76" spans="1:16">
      <c r="A76" t="n" s="4">
        <v>72</v>
      </c>
      <c r="B76" s="2">
        <f>HYPERLINK("https://my.zakupivli.pro/remote/dispatcher/state_purchase_view/48258040", "UA-2024-01-10-004953-a")</f>
        <v/>
      </c>
      <c r="C76" t="s" s="2">
        <v>1795</v>
      </c>
      <c r="D76" s="2">
        <f>HYPERLINK("https://my.zakupivli.pro/remote/dispatcher/state_contracting_view/18866720", "UA-2024-01-10-004953-a-b1")</f>
        <v/>
      </c>
      <c r="E76" t="s" s="1">
        <v>1566</v>
      </c>
      <c r="F76" t="s" s="1">
        <v>986</v>
      </c>
      <c r="G76" t="s" s="1">
        <v>986</v>
      </c>
      <c r="H76" t="s" s="1">
        <v>988</v>
      </c>
      <c r="I76" t="s" s="1">
        <v>1729</v>
      </c>
      <c r="J76" t="s" s="1">
        <v>1917</v>
      </c>
      <c r="K76" t="s" s="1">
        <v>546</v>
      </c>
      <c r="L76" t="s" s="1">
        <v>358</v>
      </c>
      <c r="M76" t="n" s="7">
        <v>7329.12</v>
      </c>
      <c r="N76" t="n" s="6">
        <v>45300.0</v>
      </c>
      <c r="O76" t="n" s="6">
        <v>45657.0</v>
      </c>
      <c r="P76" t="s" s="1">
        <v>2009</v>
      </c>
    </row>
    <row r="77" spans="1:16">
      <c r="A77" t="n" s="4">
        <v>73</v>
      </c>
      <c r="B77" s="2">
        <f>HYPERLINK("https://my.zakupivli.pro/remote/dispatcher/state_purchase_view/48923924", "UA-2024-02-05-003885-a")</f>
        <v/>
      </c>
      <c r="C77" t="s" s="2">
        <v>1795</v>
      </c>
      <c r="D77" s="2">
        <f>HYPERLINK("https://my.zakupivli.pro/remote/dispatcher/state_contracting_view/19146343", "UA-2024-02-05-003885-a-b1")</f>
        <v/>
      </c>
      <c r="E77" t="s" s="1">
        <v>797</v>
      </c>
      <c r="F77" t="s" s="1">
        <v>872</v>
      </c>
      <c r="G77" t="s" s="1">
        <v>875</v>
      </c>
      <c r="H77" t="s" s="1">
        <v>874</v>
      </c>
      <c r="I77" t="s" s="1">
        <v>1729</v>
      </c>
      <c r="J77" t="s" s="1">
        <v>1799</v>
      </c>
      <c r="K77" t="s" s="1">
        <v>339</v>
      </c>
      <c r="L77" t="s" s="1">
        <v>1419</v>
      </c>
      <c r="M77" t="n" s="7">
        <v>13950.0</v>
      </c>
      <c r="N77" t="n" s="6">
        <v>45327.0</v>
      </c>
      <c r="O77" t="n" s="6">
        <v>45657.0</v>
      </c>
      <c r="P77" t="s" s="1">
        <v>2009</v>
      </c>
    </row>
    <row r="78" spans="1:16">
      <c r="A78" t="n" s="4">
        <v>74</v>
      </c>
      <c r="B78" s="2">
        <f>HYPERLINK("https://my.zakupivli.pro/remote/dispatcher/state_purchase_view/49271895", "UA-2024-02-19-010891-a")</f>
        <v/>
      </c>
      <c r="C78" t="s" s="2">
        <v>1795</v>
      </c>
      <c r="D78" s="2">
        <f>HYPERLINK("https://my.zakupivli.pro/remote/dispatcher/state_contracting_view/19295344", "UA-2024-02-19-010891-a-b1")</f>
        <v/>
      </c>
      <c r="E78" t="s" s="1">
        <v>171</v>
      </c>
      <c r="F78" t="s" s="1">
        <v>582</v>
      </c>
      <c r="G78" t="s" s="1">
        <v>586</v>
      </c>
      <c r="H78" t="s" s="1">
        <v>585</v>
      </c>
      <c r="I78" t="s" s="1">
        <v>1729</v>
      </c>
      <c r="J78" t="s" s="1">
        <v>1982</v>
      </c>
      <c r="K78" t="s" s="1">
        <v>580</v>
      </c>
      <c r="L78" t="s" s="1">
        <v>80</v>
      </c>
      <c r="M78" t="n" s="7">
        <v>3770.0</v>
      </c>
      <c r="N78" t="n" s="6">
        <v>45341.0</v>
      </c>
      <c r="O78" t="n" s="6">
        <v>45657.0</v>
      </c>
      <c r="P78" t="s" s="1">
        <v>2009</v>
      </c>
    </row>
    <row r="79" spans="1:16">
      <c r="A79" t="n" s="4">
        <v>75</v>
      </c>
      <c r="B79" s="2">
        <f>HYPERLINK("https://my.zakupivli.pro/remote/dispatcher/state_purchase_view/48833606", "UA-2024-01-31-011398-a")</f>
        <v/>
      </c>
      <c r="C79" t="s" s="2">
        <v>1795</v>
      </c>
      <c r="D79" s="2">
        <f>HYPERLINK("https://my.zakupivli.pro/remote/dispatcher/state_contracting_view/19107395", "UA-2024-01-31-011398-a-c1")</f>
        <v/>
      </c>
      <c r="E79" t="s" s="1">
        <v>1652</v>
      </c>
      <c r="F79" t="s" s="1">
        <v>285</v>
      </c>
      <c r="G79" t="s" s="1">
        <v>285</v>
      </c>
      <c r="H79" t="s" s="1">
        <v>284</v>
      </c>
      <c r="I79" t="s" s="1">
        <v>1729</v>
      </c>
      <c r="J79" t="s" s="1">
        <v>1937</v>
      </c>
      <c r="K79" t="s" s="1">
        <v>400</v>
      </c>
      <c r="L79" t="s" s="1">
        <v>1269</v>
      </c>
      <c r="M79" t="n" s="7">
        <v>2938.8</v>
      </c>
      <c r="N79" t="n" s="6">
        <v>45321.0</v>
      </c>
      <c r="O79" t="n" s="6">
        <v>45657.0</v>
      </c>
      <c r="P79" t="s" s="1">
        <v>2009</v>
      </c>
    </row>
    <row r="80" spans="1:16">
      <c r="A80" t="n" s="4">
        <v>76</v>
      </c>
      <c r="B80" s="2">
        <f>HYPERLINK("https://my.zakupivli.pro/remote/dispatcher/state_purchase_view/50426363", "UA-2024-04-15-009273-a")</f>
        <v/>
      </c>
      <c r="C80" t="s" s="2">
        <v>1795</v>
      </c>
      <c r="D80" s="2">
        <f>HYPERLINK("https://my.zakupivli.pro/remote/dispatcher/state_contracting_view/19795723", "UA-2024-04-15-009273-a-a1")</f>
        <v/>
      </c>
      <c r="E80" t="s" s="1">
        <v>1477</v>
      </c>
      <c r="F80" t="s" s="1">
        <v>1115</v>
      </c>
      <c r="G80" t="s" s="1">
        <v>2100</v>
      </c>
      <c r="H80" t="s" s="1">
        <v>1114</v>
      </c>
      <c r="I80" t="s" s="1">
        <v>1729</v>
      </c>
      <c r="J80" t="s" s="1">
        <v>1979</v>
      </c>
      <c r="K80" t="s" s="1">
        <v>270</v>
      </c>
      <c r="L80" t="s" s="1">
        <v>240</v>
      </c>
      <c r="M80" t="n" s="4">
        <v>49900</v>
      </c>
      <c r="N80" t="n" s="6">
        <v>45393.0</v>
      </c>
      <c r="O80" t="n" s="6">
        <v>45657.0</v>
      </c>
      <c r="P80" t="s" s="1">
        <v>2009</v>
      </c>
    </row>
    <row r="81" spans="1:16">
      <c r="A81" t="n" s="4">
        <v>77</v>
      </c>
      <c r="B81" s="2">
        <f>HYPERLINK("https://my.zakupivli.pro/remote/dispatcher/state_purchase_view/49757626", "UA-2024-03-13-003804-a")</f>
        <v/>
      </c>
      <c r="C81" t="s" s="2">
        <v>1795</v>
      </c>
      <c r="D81" s="2">
        <f>HYPERLINK("https://my.zakupivli.pro/remote/dispatcher/state_contracting_view/19504188", "UA-2024-03-13-003804-a-a1")</f>
        <v/>
      </c>
      <c r="E81" t="s" s="1">
        <v>1284</v>
      </c>
      <c r="F81" t="s" s="1">
        <v>761</v>
      </c>
      <c r="G81" t="s" s="1">
        <v>764</v>
      </c>
      <c r="H81" t="s" s="1">
        <v>763</v>
      </c>
      <c r="I81" t="s" s="1">
        <v>1729</v>
      </c>
      <c r="J81" t="s" s="1">
        <v>1815</v>
      </c>
      <c r="K81" t="s" s="1">
        <v>648</v>
      </c>
      <c r="L81" t="s" s="1">
        <v>143</v>
      </c>
      <c r="M81" t="n" s="7">
        <v>3696.0</v>
      </c>
      <c r="N81" t="n" s="6">
        <v>45362.0</v>
      </c>
      <c r="O81" t="n" s="6">
        <v>45657.0</v>
      </c>
      <c r="P81" t="s" s="1">
        <v>2009</v>
      </c>
    </row>
    <row r="82" spans="1:16">
      <c r="A82" t="n" s="4">
        <v>78</v>
      </c>
      <c r="B82" s="2">
        <f>HYPERLINK("https://my.zakupivli.pro/remote/dispatcher/state_purchase_view/49349943", "UA-2024-02-22-002446-a")</f>
        <v/>
      </c>
      <c r="C82" t="s" s="2">
        <v>1795</v>
      </c>
      <c r="D82" s="2">
        <f>HYPERLINK("https://my.zakupivli.pro/remote/dispatcher/state_contracting_view/19329022", "UA-2024-02-22-002446-a-b1")</f>
        <v/>
      </c>
      <c r="E82" t="s" s="1">
        <v>1283</v>
      </c>
      <c r="F82" t="s" s="1">
        <v>221</v>
      </c>
      <c r="G82" t="s" s="1">
        <v>221</v>
      </c>
      <c r="H82" t="s" s="1">
        <v>220</v>
      </c>
      <c r="I82" t="s" s="1">
        <v>1729</v>
      </c>
      <c r="J82" t="s" s="1">
        <v>1815</v>
      </c>
      <c r="K82" t="s" s="1">
        <v>648</v>
      </c>
      <c r="L82" t="s" s="1">
        <v>94</v>
      </c>
      <c r="M82" t="n" s="7">
        <v>9987.6</v>
      </c>
      <c r="N82" t="n" s="6">
        <v>45343.0</v>
      </c>
      <c r="O82" t="n" s="6">
        <v>45657.0</v>
      </c>
      <c r="P82" t="s" s="1">
        <v>2009</v>
      </c>
    </row>
    <row r="83" spans="1:16">
      <c r="A83" t="n" s="4">
        <v>79</v>
      </c>
      <c r="B83" s="2">
        <f>HYPERLINK("https://my.zakupivli.pro/remote/dispatcher/state_purchase_view/49860072", "UA-2024-03-18-009360-a")</f>
        <v/>
      </c>
      <c r="C83" t="s" s="2">
        <v>1795</v>
      </c>
      <c r="D83" s="2">
        <f>HYPERLINK("https://my.zakupivli.pro/remote/dispatcher/state_contracting_view/19547911", "UA-2024-03-18-009360-a-c1")</f>
        <v/>
      </c>
      <c r="E83" t="s" s="1">
        <v>1377</v>
      </c>
      <c r="F83" t="s" s="1">
        <v>1325</v>
      </c>
      <c r="G83" t="s" s="1">
        <v>1751</v>
      </c>
      <c r="H83" t="s" s="1">
        <v>1329</v>
      </c>
      <c r="I83" t="s" s="1">
        <v>1729</v>
      </c>
      <c r="J83" t="s" s="1">
        <v>1736</v>
      </c>
      <c r="K83" t="s" s="1">
        <v>204</v>
      </c>
      <c r="L83" t="s" s="1">
        <v>1197</v>
      </c>
      <c r="M83" t="n" s="7">
        <v>10728.7</v>
      </c>
      <c r="N83" t="n" s="6">
        <v>45365.0</v>
      </c>
      <c r="O83" t="n" s="6">
        <v>45657.0</v>
      </c>
      <c r="P83" t="s" s="1">
        <v>2009</v>
      </c>
    </row>
    <row r="84" spans="1:16">
      <c r="A84" t="n" s="4">
        <v>80</v>
      </c>
      <c r="B84" s="2">
        <f>HYPERLINK("https://my.zakupivli.pro/remote/dispatcher/state_purchase_view/49706155", "UA-2024-03-11-007300-a")</f>
        <v/>
      </c>
      <c r="C84" t="s" s="2">
        <v>1795</v>
      </c>
      <c r="D84" s="2">
        <f>HYPERLINK("https://my.zakupivli.pro/remote/dispatcher/state_contracting_view/19481755", "UA-2024-03-11-007300-a-c1")</f>
        <v/>
      </c>
      <c r="E84" t="s" s="1">
        <v>1228</v>
      </c>
      <c r="F84" t="s" s="1">
        <v>215</v>
      </c>
      <c r="G84" t="s" s="1">
        <v>218</v>
      </c>
      <c r="H84" t="s" s="1">
        <v>216</v>
      </c>
      <c r="I84" t="s" s="1">
        <v>1729</v>
      </c>
      <c r="J84" t="s" s="1">
        <v>1799</v>
      </c>
      <c r="K84" t="s" s="1">
        <v>339</v>
      </c>
      <c r="L84" t="s" s="1">
        <v>139</v>
      </c>
      <c r="M84" t="n" s="7">
        <v>4500.0</v>
      </c>
      <c r="N84" t="n" s="6">
        <v>45359.0</v>
      </c>
      <c r="O84" t="n" s="6">
        <v>45657.0</v>
      </c>
      <c r="P84" t="s" s="1">
        <v>2009</v>
      </c>
    </row>
    <row r="85" spans="1:16">
      <c r="A85" t="n" s="4">
        <v>81</v>
      </c>
      <c r="B85" s="2">
        <f>HYPERLINK("https://my.zakupivli.pro/remote/dispatcher/state_purchase_view/51121520", "UA-2024-05-21-001000-a")</f>
        <v/>
      </c>
      <c r="C85" t="s" s="2">
        <v>1795</v>
      </c>
      <c r="D85" s="2">
        <f>HYPERLINK("https://my.zakupivli.pro/remote/dispatcher/state_contracting_view/20508911", "UA-2024-05-21-001000-a-b1")</f>
        <v/>
      </c>
      <c r="E85" t="s" s="1">
        <v>796</v>
      </c>
      <c r="F85" t="s" s="1">
        <v>1417</v>
      </c>
      <c r="G85" t="s" s="1">
        <v>1417</v>
      </c>
      <c r="H85" t="s" s="1">
        <v>1416</v>
      </c>
      <c r="I85" t="s" s="1">
        <v>1729</v>
      </c>
      <c r="J85" t="s" s="1">
        <v>1855</v>
      </c>
      <c r="K85" t="s" s="1">
        <v>318</v>
      </c>
      <c r="L85" t="s" s="1">
        <v>579</v>
      </c>
      <c r="M85" t="n" s="7">
        <v>3600.0</v>
      </c>
      <c r="N85" t="n" s="6">
        <v>45432.0</v>
      </c>
      <c r="O85" t="n" s="6">
        <v>45657.0</v>
      </c>
      <c r="P85" t="s" s="1">
        <v>2009</v>
      </c>
    </row>
    <row r="86" spans="1:16">
      <c r="A86" t="n" s="4">
        <v>82</v>
      </c>
      <c r="B86" s="2">
        <f>HYPERLINK("https://my.zakupivli.pro/remote/dispatcher/state_purchase_view/48641969", "UA-2024-01-24-011936-a")</f>
        <v/>
      </c>
      <c r="C86" t="s" s="2">
        <v>1795</v>
      </c>
      <c r="D86" s="2">
        <f>HYPERLINK("https://my.zakupivli.pro/remote/dispatcher/state_contracting_view/19024880", "UA-2024-01-24-011936-a-c1")</f>
        <v/>
      </c>
      <c r="E86" t="s" s="1">
        <v>55</v>
      </c>
      <c r="F86" t="s" s="1">
        <v>885</v>
      </c>
      <c r="G86" t="s" s="1">
        <v>889</v>
      </c>
      <c r="H86" t="s" s="1">
        <v>887</v>
      </c>
      <c r="I86" t="s" s="1">
        <v>1729</v>
      </c>
      <c r="J86" t="s" s="1">
        <v>1896</v>
      </c>
      <c r="K86" t="s" s="1">
        <v>718</v>
      </c>
      <c r="L86" t="s" s="1">
        <v>1057</v>
      </c>
      <c r="M86" t="n" s="7">
        <v>49992.0</v>
      </c>
      <c r="N86" t="n" s="6">
        <v>45313.0</v>
      </c>
      <c r="O86" t="n" s="6">
        <v>45657.0</v>
      </c>
      <c r="P86" t="s" s="1">
        <v>2009</v>
      </c>
    </row>
    <row r="87" spans="1:16">
      <c r="A87" t="n" s="4">
        <v>83</v>
      </c>
      <c r="B87" s="2">
        <f>HYPERLINK("https://my.zakupivli.pro/remote/dispatcher/state_purchase_view/51453580", "UA-2024-06-06-001061-a")</f>
        <v/>
      </c>
      <c r="C87" t="s" s="2">
        <v>1795</v>
      </c>
      <c r="D87" s="2">
        <f>HYPERLINK("https://my.zakupivli.pro/remote/dispatcher/state_contracting_view/20653239", "UA-2024-06-06-001061-a-c1")</f>
        <v/>
      </c>
      <c r="E87" t="s" s="1">
        <v>1047</v>
      </c>
      <c r="F87" t="s" s="1">
        <v>182</v>
      </c>
      <c r="G87" t="s" s="1">
        <v>184</v>
      </c>
      <c r="H87" t="s" s="1">
        <v>183</v>
      </c>
      <c r="I87" t="s" s="1">
        <v>1729</v>
      </c>
      <c r="J87" t="s" s="1">
        <v>1815</v>
      </c>
      <c r="K87" t="s" s="1">
        <v>648</v>
      </c>
      <c r="L87" t="s" s="1">
        <v>415</v>
      </c>
      <c r="M87" t="n" s="7">
        <v>19382.4</v>
      </c>
      <c r="N87" t="n" s="6">
        <v>45448.0</v>
      </c>
      <c r="O87" t="n" s="6">
        <v>45657.0</v>
      </c>
      <c r="P87" t="s" s="1">
        <v>2009</v>
      </c>
    </row>
    <row r="88" spans="1:16">
      <c r="A88" t="n" s="4">
        <v>84</v>
      </c>
      <c r="B88" s="2">
        <f>HYPERLINK("https://my.zakupivli.pro/remote/dispatcher/state_purchase_view/51416101", "UA-2024-06-04-009812-a")</f>
        <v/>
      </c>
      <c r="C88" t="s" s="2">
        <v>1795</v>
      </c>
      <c r="D88" s="2">
        <f>HYPERLINK("https://my.zakupivli.pro/remote/dispatcher/state_contracting_view/20637168", "UA-2024-06-04-009812-a-c1")</f>
        <v/>
      </c>
      <c r="E88" t="s" s="1">
        <v>1654</v>
      </c>
      <c r="F88" t="s" s="1">
        <v>1412</v>
      </c>
      <c r="G88" t="s" s="1">
        <v>2104</v>
      </c>
      <c r="H88" t="s" s="1">
        <v>1413</v>
      </c>
      <c r="I88" t="s" s="1">
        <v>1729</v>
      </c>
      <c r="J88" t="s" s="1">
        <v>1951</v>
      </c>
      <c r="K88" t="s" s="1">
        <v>998</v>
      </c>
      <c r="L88" t="s" s="1">
        <v>65</v>
      </c>
      <c r="M88" t="n" s="4">
        <v>3300</v>
      </c>
      <c r="N88" t="n" s="6">
        <v>45447.0</v>
      </c>
      <c r="O88" t="n" s="6">
        <v>45657.0</v>
      </c>
      <c r="P88" t="s" s="1">
        <v>2009</v>
      </c>
    </row>
    <row r="89" spans="1:16">
      <c r="A89" t="n" s="4">
        <v>85</v>
      </c>
      <c r="B89" s="2">
        <f>HYPERLINK("https://my.zakupivli.pro/remote/dispatcher/state_purchase_view/55726765", "UA-2024-12-13-003532-a")</f>
        <v/>
      </c>
      <c r="C89" t="s" s="2">
        <v>1795</v>
      </c>
      <c r="D89" s="2">
        <f>HYPERLINK("https://my.zakupivli.pro/remote/dispatcher/state_contracting_view/22495642", "UA-2024-12-13-003532-a-c1")</f>
        <v/>
      </c>
      <c r="E89" t="s" s="1">
        <v>1594</v>
      </c>
      <c r="F89" t="s" s="1">
        <v>707</v>
      </c>
      <c r="G89" t="s" s="1">
        <v>1703</v>
      </c>
      <c r="H89" t="s" s="1">
        <v>709</v>
      </c>
      <c r="I89" t="s" s="1">
        <v>1729</v>
      </c>
      <c r="J89" t="s" s="1">
        <v>1809</v>
      </c>
      <c r="K89" t="s" s="1">
        <v>297</v>
      </c>
      <c r="L89" t="s" s="1">
        <v>1205</v>
      </c>
      <c r="M89" t="n" s="4">
        <v>28770</v>
      </c>
      <c r="N89" t="n" s="6">
        <v>45638.0</v>
      </c>
      <c r="O89" t="n" s="6">
        <v>45657.0</v>
      </c>
      <c r="P89" t="s" s="1">
        <v>2009</v>
      </c>
    </row>
    <row r="90" spans="1:16">
      <c r="A90" t="n" s="4">
        <v>86</v>
      </c>
      <c r="B90" s="2">
        <f>HYPERLINK("https://my.zakupivli.pro/remote/dispatcher/state_purchase_view/55336642", "UA-2024-12-03-005041-a")</f>
        <v/>
      </c>
      <c r="C90" t="s" s="2">
        <v>1795</v>
      </c>
      <c r="D90" s="2">
        <f>HYPERLINK("https://my.zakupivli.pro/remote/dispatcher/state_contracting_view/22327833", "UA-2024-12-03-005041-a-c1")</f>
        <v/>
      </c>
      <c r="E90" t="s" s="1">
        <v>1512</v>
      </c>
      <c r="F90" t="s" s="1">
        <v>575</v>
      </c>
      <c r="G90" t="s" s="1">
        <v>576</v>
      </c>
      <c r="H90" t="s" s="1">
        <v>574</v>
      </c>
      <c r="I90" t="s" s="1">
        <v>1729</v>
      </c>
      <c r="J90" t="s" s="1">
        <v>1815</v>
      </c>
      <c r="K90" t="s" s="1">
        <v>648</v>
      </c>
      <c r="L90" t="s" s="1">
        <v>1196</v>
      </c>
      <c r="M90" t="n" s="4">
        <v>7440</v>
      </c>
      <c r="N90" t="n" s="6">
        <v>45629.0</v>
      </c>
      <c r="O90" t="n" s="6">
        <v>45657.0</v>
      </c>
      <c r="P90" t="s" s="1">
        <v>2009</v>
      </c>
    </row>
    <row r="91" spans="1:16">
      <c r="A91" t="n" s="4">
        <v>87</v>
      </c>
      <c r="B91" s="2">
        <f>HYPERLINK("https://my.zakupivli.pro/remote/dispatcher/state_purchase_view/55183733", "UA-2024-11-27-009412-a")</f>
        <v/>
      </c>
      <c r="C91" t="s" s="2">
        <v>1795</v>
      </c>
      <c r="D91" s="2">
        <f>HYPERLINK("https://my.zakupivli.pro/remote/dispatcher/state_contracting_view/22262702", "UA-2024-11-27-009412-a-c1")</f>
        <v/>
      </c>
      <c r="E91" t="s" s="1">
        <v>1581</v>
      </c>
      <c r="F91" t="s" s="1">
        <v>1100</v>
      </c>
      <c r="G91" t="s" s="1">
        <v>1100</v>
      </c>
      <c r="H91" t="s" s="1">
        <v>1099</v>
      </c>
      <c r="I91" t="s" s="1">
        <v>1729</v>
      </c>
      <c r="J91" t="s" s="1">
        <v>1735</v>
      </c>
      <c r="K91" t="s" s="1">
        <v>337</v>
      </c>
      <c r="L91" t="s" s="1">
        <v>1187</v>
      </c>
      <c r="M91" t="n" s="4">
        <v>20000</v>
      </c>
      <c r="N91" t="n" s="6">
        <v>45623.0</v>
      </c>
      <c r="O91" t="n" s="6">
        <v>45657.0</v>
      </c>
      <c r="P91" t="s" s="1">
        <v>2009</v>
      </c>
    </row>
    <row r="92" spans="1:16">
      <c r="A92" t="n" s="4">
        <v>88</v>
      </c>
      <c r="B92" s="2">
        <f>HYPERLINK("https://my.zakupivli.pro/remote/dispatcher/state_purchase_view/55601785", "UA-2024-12-10-016778-a")</f>
        <v/>
      </c>
      <c r="C92" t="s" s="2">
        <v>1795</v>
      </c>
      <c r="D92" s="2">
        <f>HYPERLINK("https://my.zakupivli.pro/remote/dispatcher/state_contracting_view/22441948", "UA-2024-12-10-016778-a-c1")</f>
        <v/>
      </c>
      <c r="E92" t="s" s="1">
        <v>794</v>
      </c>
      <c r="F92" t="s" s="1">
        <v>506</v>
      </c>
      <c r="G92" t="s" s="1">
        <v>1869</v>
      </c>
      <c r="H92" t="s" s="1">
        <v>505</v>
      </c>
      <c r="I92" t="s" s="1">
        <v>1729</v>
      </c>
      <c r="J92" t="s" s="1">
        <v>1941</v>
      </c>
      <c r="K92" t="s" s="1">
        <v>317</v>
      </c>
      <c r="L92" t="s" s="1">
        <v>1203</v>
      </c>
      <c r="M92" t="n" s="7">
        <v>22517.2</v>
      </c>
      <c r="N92" t="n" s="6">
        <v>45635.0</v>
      </c>
      <c r="O92" t="n" s="6">
        <v>45657.0</v>
      </c>
      <c r="P92" t="s" s="1">
        <v>2009</v>
      </c>
    </row>
    <row r="93" spans="1:16">
      <c r="A93" t="n" s="4">
        <v>89</v>
      </c>
      <c r="B93" s="2">
        <f>HYPERLINK("https://my.zakupivli.pro/remote/dispatcher/state_purchase_view/52508079", "UA-2024-08-05-002808-a")</f>
        <v/>
      </c>
      <c r="C93" t="s" s="2">
        <v>1795</v>
      </c>
      <c r="D93" s="2">
        <f>HYPERLINK("https://my.zakupivli.pro/remote/dispatcher/state_contracting_view/21112317", "UA-2024-08-05-002808-a-b1")</f>
        <v/>
      </c>
      <c r="E93" t="s" s="1">
        <v>1533</v>
      </c>
      <c r="F93" t="s" s="1">
        <v>1108</v>
      </c>
      <c r="G93" t="s" s="1">
        <v>2065</v>
      </c>
      <c r="H93" t="s" s="1">
        <v>1113</v>
      </c>
      <c r="I93" t="s" s="1">
        <v>1729</v>
      </c>
      <c r="J93" t="s" s="1">
        <v>1943</v>
      </c>
      <c r="K93" t="s" s="1">
        <v>840</v>
      </c>
      <c r="L93" t="s" s="1">
        <v>683</v>
      </c>
      <c r="M93" t="n" s="4">
        <v>18335</v>
      </c>
      <c r="N93" t="n" s="6">
        <v>45509.0</v>
      </c>
      <c r="O93" t="n" s="6">
        <v>45657.0</v>
      </c>
      <c r="P93" t="s" s="1">
        <v>2009</v>
      </c>
    </row>
    <row r="94" spans="1:16">
      <c r="A94" t="n" s="4">
        <v>90</v>
      </c>
      <c r="B94" s="2">
        <f>HYPERLINK("https://my.zakupivli.pro/remote/dispatcher/state_purchase_view/48887380", "UA-2024-02-02-003865-a")</f>
        <v/>
      </c>
      <c r="C94" t="s" s="2">
        <v>1795</v>
      </c>
      <c r="D94" s="2">
        <f>HYPERLINK("https://my.zakupivli.pro/remote/dispatcher/state_contracting_view/19130269", "UA-2024-02-02-003865-a-a1")</f>
        <v/>
      </c>
      <c r="E94" t="s" s="1">
        <v>1638</v>
      </c>
      <c r="F94" t="s" s="1">
        <v>1097</v>
      </c>
      <c r="G94" t="s" s="1">
        <v>1097</v>
      </c>
      <c r="H94" t="s" s="1">
        <v>1095</v>
      </c>
      <c r="I94" t="s" s="1">
        <v>1729</v>
      </c>
      <c r="J94" t="s" s="1">
        <v>1914</v>
      </c>
      <c r="K94" t="s" s="1">
        <v>821</v>
      </c>
      <c r="L94" t="s" s="1">
        <v>1378</v>
      </c>
      <c r="M94" t="n" s="7">
        <v>43200.0</v>
      </c>
      <c r="N94" t="n" s="6">
        <v>45324.0</v>
      </c>
      <c r="O94" t="n" s="6">
        <v>45657.0</v>
      </c>
      <c r="P94" t="s" s="1">
        <v>2009</v>
      </c>
    </row>
    <row r="95" spans="1:16">
      <c r="A95" t="n" s="4">
        <v>91</v>
      </c>
      <c r="B95" s="2">
        <f>HYPERLINK("https://my.zakupivli.pro/remote/dispatcher/state_purchase_view/55495589", "UA-2024-12-06-012979-a")</f>
        <v/>
      </c>
      <c r="C95" t="s" s="2">
        <v>1795</v>
      </c>
      <c r="D95" s="2">
        <f>HYPERLINK("https://my.zakupivli.pro/remote/dispatcher/state_contracting_view/22396005", "UA-2024-12-06-012979-a-c1")</f>
        <v/>
      </c>
      <c r="E95" t="s" s="1">
        <v>611</v>
      </c>
      <c r="F95" t="s" s="1">
        <v>966</v>
      </c>
      <c r="G95" t="s" s="1">
        <v>1743</v>
      </c>
      <c r="H95" t="s" s="1">
        <v>968</v>
      </c>
      <c r="I95" t="s" s="1">
        <v>1729</v>
      </c>
      <c r="J95" t="s" s="1">
        <v>1954</v>
      </c>
      <c r="K95" t="s" s="1">
        <v>102</v>
      </c>
      <c r="L95" t="s" s="1">
        <v>1202</v>
      </c>
      <c r="M95" t="n" s="4">
        <v>2860230</v>
      </c>
      <c r="N95" t="n" s="6">
        <v>45632.0</v>
      </c>
      <c r="O95" t="n" s="6">
        <v>45657.0</v>
      </c>
      <c r="P95" t="s" s="1">
        <v>2036</v>
      </c>
    </row>
    <row r="96" spans="1:16">
      <c r="A96" t="n" s="4">
        <v>92</v>
      </c>
      <c r="B96" s="2">
        <f>HYPERLINK("https://my.zakupivli.pro/remote/dispatcher/state_purchase_view/52331259", "UA-2024-07-24-009140-a")</f>
        <v/>
      </c>
      <c r="C96" t="s" s="2">
        <v>1795</v>
      </c>
      <c r="D96" s="2">
        <f>HYPERLINK("https://my.zakupivli.pro/remote/dispatcher/state_contracting_view/21035772", "UA-2024-07-24-009140-a-b1")</f>
        <v/>
      </c>
      <c r="E96" t="s" s="1">
        <v>1188</v>
      </c>
      <c r="F96" t="s" s="1">
        <v>481</v>
      </c>
      <c r="G96" t="s" s="1">
        <v>2011</v>
      </c>
      <c r="H96" t="s" s="1">
        <v>480</v>
      </c>
      <c r="I96" t="s" s="1">
        <v>1729</v>
      </c>
      <c r="J96" t="s" s="1">
        <v>2007</v>
      </c>
      <c r="K96" t="s" s="1">
        <v>373</v>
      </c>
      <c r="L96" t="s" s="1">
        <v>660</v>
      </c>
      <c r="M96" t="n" s="4">
        <v>7800</v>
      </c>
      <c r="N96" t="n" s="6">
        <v>45495.0</v>
      </c>
      <c r="O96" t="n" s="6">
        <v>45657.0</v>
      </c>
      <c r="P96" t="s" s="1">
        <v>2009</v>
      </c>
    </row>
    <row r="97" spans="1:16">
      <c r="A97" t="n" s="4">
        <v>93</v>
      </c>
      <c r="B97" s="2">
        <f>HYPERLINK("https://my.zakupivli.pro/remote/dispatcher/state_purchase_view/54039077", "UA-2024-10-16-005404-a")</f>
        <v/>
      </c>
      <c r="C97" t="s" s="2">
        <v>1795</v>
      </c>
      <c r="D97" s="2">
        <f>HYPERLINK("https://my.zakupivli.pro/remote/dispatcher/state_contracting_view/21769739", "UA-2024-10-16-005404-a-c1")</f>
        <v/>
      </c>
      <c r="E97" t="s" s="1">
        <v>1170</v>
      </c>
      <c r="F97" t="s" s="1">
        <v>749</v>
      </c>
      <c r="G97" t="s" s="1">
        <v>1791</v>
      </c>
      <c r="H97" t="s" s="1">
        <v>751</v>
      </c>
      <c r="I97" t="s" s="1">
        <v>1729</v>
      </c>
      <c r="J97" t="s" s="1">
        <v>1663</v>
      </c>
      <c r="K97" t="s" s="1">
        <v>370</v>
      </c>
      <c r="L97" t="s" s="1">
        <v>1133</v>
      </c>
      <c r="M97" t="n" s="4">
        <v>5400</v>
      </c>
      <c r="N97" t="n" s="6">
        <v>45581.0</v>
      </c>
      <c r="O97" t="n" s="6">
        <v>45657.0</v>
      </c>
      <c r="P97" t="s" s="1">
        <v>2009</v>
      </c>
    </row>
    <row r="98" spans="1:16">
      <c r="A98" t="n" s="4">
        <v>94</v>
      </c>
      <c r="B98" s="2">
        <f>HYPERLINK("https://my.zakupivli.pro/remote/dispatcher/state_purchase_view/53607184", "UA-2024-09-26-007414-a")</f>
        <v/>
      </c>
      <c r="C98" t="s" s="2">
        <v>1795</v>
      </c>
      <c r="D98" s="2">
        <f>HYPERLINK("https://my.zakupivli.pro/remote/dispatcher/state_contracting_view/21583603", "UA-2024-09-26-007414-a-b1")</f>
        <v/>
      </c>
      <c r="E98" t="s" s="1">
        <v>234</v>
      </c>
      <c r="F98" t="s" s="1">
        <v>1023</v>
      </c>
      <c r="G98" t="s" s="1">
        <v>1023</v>
      </c>
      <c r="H98" t="s" s="1">
        <v>1021</v>
      </c>
      <c r="I98" t="s" s="1">
        <v>1729</v>
      </c>
      <c r="J98" t="s" s="1">
        <v>1815</v>
      </c>
      <c r="K98" t="s" s="1">
        <v>648</v>
      </c>
      <c r="L98" t="s" s="1">
        <v>1077</v>
      </c>
      <c r="M98" t="n" s="4">
        <v>19440</v>
      </c>
      <c r="N98" t="n" s="6">
        <v>45560.0</v>
      </c>
      <c r="O98" t="n" s="6">
        <v>45657.0</v>
      </c>
      <c r="P98" t="s" s="1">
        <v>2009</v>
      </c>
    </row>
    <row r="99" spans="1:16">
      <c r="A99" t="n" s="4">
        <v>95</v>
      </c>
      <c r="B99" s="2">
        <f>HYPERLINK("https://my.zakupivli.pro/remote/dispatcher/state_purchase_view/54342715", "UA-2024-10-28-008914-a")</f>
        <v/>
      </c>
      <c r="C99" s="2">
        <f>HYPERLINK("https://my.zakupivli.pro/remote/dispatcher/state_purchase_lot_view/1437363", "UA-2024-10-28-008914-a-L1437363")</f>
        <v/>
      </c>
      <c r="D99" s="2">
        <f>HYPERLINK("https://my.zakupivli.pro/remote/dispatcher/state_contracting_view/22110993", "UA-2024-10-28-008914-a-b1")</f>
        <v/>
      </c>
      <c r="E99" t="s" s="1">
        <v>1627</v>
      </c>
      <c r="F99" t="s" s="1">
        <v>515</v>
      </c>
      <c r="G99" t="s" s="1">
        <v>1753</v>
      </c>
      <c r="H99" t="s" s="1">
        <v>520</v>
      </c>
      <c r="I99" t="s" s="1">
        <v>1697</v>
      </c>
      <c r="J99" t="s" s="1">
        <v>1920</v>
      </c>
      <c r="K99" t="s" s="1">
        <v>261</v>
      </c>
      <c r="L99" t="s" s="1">
        <v>1189</v>
      </c>
      <c r="M99" t="n" s="7">
        <v>23400.0</v>
      </c>
      <c r="N99" t="n" s="6">
        <v>45624.0</v>
      </c>
      <c r="O99" t="n" s="6">
        <v>45657.0</v>
      </c>
      <c r="P99" t="s" s="1">
        <v>2036</v>
      </c>
    </row>
    <row r="100" spans="1:16">
      <c r="A100" t="n" s="4">
        <v>96</v>
      </c>
      <c r="B100" s="2">
        <f>HYPERLINK("https://my.zakupivli.pro/remote/dispatcher/state_purchase_view/48025995", "UA-2023-12-26-002157-a")</f>
        <v/>
      </c>
      <c r="C100" s="2">
        <f>HYPERLINK("https://my.zakupivli.pro/remote/dispatcher/state_purchase_lot_view/1161125", "UA-2023-12-26-002157-a-L1161125")</f>
        <v/>
      </c>
      <c r="D100" s="2">
        <f>HYPERLINK("https://my.zakupivli.pro/remote/dispatcher/state_contracting_view/18919307", "UA-2023-12-26-002157-a-b1")</f>
        <v/>
      </c>
      <c r="E100" t="s" s="1">
        <v>1531</v>
      </c>
      <c r="F100" t="s" s="1">
        <v>879</v>
      </c>
      <c r="G100" t="s" s="1">
        <v>1717</v>
      </c>
      <c r="H100" t="s" s="1">
        <v>880</v>
      </c>
      <c r="I100" t="s" s="1">
        <v>1697</v>
      </c>
      <c r="J100" t="s" s="1">
        <v>1964</v>
      </c>
      <c r="K100" t="s" s="1">
        <v>921</v>
      </c>
      <c r="L100" t="s" s="1">
        <v>662</v>
      </c>
      <c r="M100" t="n" s="7">
        <v>156474.0</v>
      </c>
      <c r="N100" t="n" s="6">
        <v>45307.0</v>
      </c>
      <c r="O100" t="n" s="6">
        <v>45657.0</v>
      </c>
      <c r="P100" t="s" s="1">
        <v>2036</v>
      </c>
    </row>
    <row r="101" spans="1:16">
      <c r="A101" t="n" s="4">
        <v>97</v>
      </c>
      <c r="B101" s="2">
        <f>HYPERLINK("https://my.zakupivli.pro/remote/dispatcher/state_purchase_view/55014914", "UA-2024-11-21-009973-a")</f>
        <v/>
      </c>
      <c r="C101" t="s" s="2">
        <v>1795</v>
      </c>
      <c r="D101" s="2">
        <f>HYPERLINK("https://my.zakupivli.pro/remote/dispatcher/state_contracting_view/22189742", "UA-2024-11-21-009973-a-b1")</f>
        <v/>
      </c>
      <c r="E101" t="s" s="1">
        <v>1632</v>
      </c>
      <c r="F101" t="s" s="1">
        <v>637</v>
      </c>
      <c r="G101" t="s" s="1">
        <v>1871</v>
      </c>
      <c r="H101" t="s" s="1">
        <v>641</v>
      </c>
      <c r="I101" t="s" s="1">
        <v>1729</v>
      </c>
      <c r="J101" t="s" s="1">
        <v>2006</v>
      </c>
      <c r="K101" t="s" s="1">
        <v>380</v>
      </c>
      <c r="L101" t="s" s="1">
        <v>1162</v>
      </c>
      <c r="M101" t="n" s="4">
        <v>222960</v>
      </c>
      <c r="N101" t="n" s="6">
        <v>45616.0</v>
      </c>
      <c r="O101" t="n" s="6">
        <v>45657.0</v>
      </c>
      <c r="P101" t="s" s="1">
        <v>2036</v>
      </c>
    </row>
    <row r="102" spans="1:16">
      <c r="A102" t="n" s="4">
        <v>98</v>
      </c>
      <c r="B102" s="2">
        <f>HYPERLINK("https://my.zakupivli.pro/remote/dispatcher/state_purchase_view/49378790", "UA-2024-02-23-000918-a")</f>
        <v/>
      </c>
      <c r="C102" t="s" s="2">
        <v>1795</v>
      </c>
      <c r="D102" s="2">
        <f>HYPERLINK("https://my.zakupivli.pro/remote/dispatcher/state_contracting_view/19341269", "UA-2024-02-23-000918-a-b1")</f>
        <v/>
      </c>
      <c r="E102" t="s" s="1">
        <v>1519</v>
      </c>
      <c r="F102" t="s" s="1">
        <v>915</v>
      </c>
      <c r="G102" t="s" s="1">
        <v>1688</v>
      </c>
      <c r="H102" t="s" s="1">
        <v>914</v>
      </c>
      <c r="I102" t="s" s="1">
        <v>1729</v>
      </c>
      <c r="J102" t="s" s="1">
        <v>1740</v>
      </c>
      <c r="K102" t="s" s="1">
        <v>376</v>
      </c>
      <c r="L102" t="s" s="1">
        <v>96</v>
      </c>
      <c r="M102" t="n" s="7">
        <v>497250.0</v>
      </c>
      <c r="N102" t="n" s="6">
        <v>45343.0</v>
      </c>
      <c r="O102" t="n" s="6">
        <v>45657.0</v>
      </c>
      <c r="P102" t="s" s="1">
        <v>2036</v>
      </c>
    </row>
    <row r="103" spans="1:16">
      <c r="A103" t="n" s="4">
        <v>99</v>
      </c>
      <c r="B103" s="2">
        <f>HYPERLINK("https://my.zakupivli.pro/remote/dispatcher/state_purchase_view/52673365", "UA-2024-08-13-006099-a")</f>
        <v/>
      </c>
      <c r="C103" t="s" s="2">
        <v>1795</v>
      </c>
      <c r="D103" s="2">
        <f>HYPERLINK("https://my.zakupivli.pro/remote/dispatcher/state_contracting_view/21183917", "UA-2024-08-13-006099-a-b1")</f>
        <v/>
      </c>
      <c r="E103" t="s" s="1">
        <v>1565</v>
      </c>
      <c r="F103" t="s" s="1">
        <v>938</v>
      </c>
      <c r="G103" t="s" s="1">
        <v>1780</v>
      </c>
      <c r="H103" t="s" s="1">
        <v>939</v>
      </c>
      <c r="I103" t="s" s="1">
        <v>1729</v>
      </c>
      <c r="J103" t="s" s="1">
        <v>1661</v>
      </c>
      <c r="K103" t="s" s="1">
        <v>351</v>
      </c>
      <c r="L103" t="s" s="1">
        <v>704</v>
      </c>
      <c r="M103" t="n" s="4">
        <v>160185</v>
      </c>
      <c r="N103" t="n" s="6">
        <v>45517.0</v>
      </c>
      <c r="O103" t="n" s="6">
        <v>45657.0</v>
      </c>
      <c r="P103" t="s" s="1">
        <v>2036</v>
      </c>
    </row>
    <row r="104" spans="1:16">
      <c r="A104" t="n" s="4">
        <v>100</v>
      </c>
      <c r="B104" s="2">
        <f>HYPERLINK("https://my.zakupivli.pro/remote/dispatcher/state_purchase_view/54561502", "UA-2024-11-06-001677-a")</f>
        <v/>
      </c>
      <c r="C104" s="2">
        <f>HYPERLINK("https://my.zakupivli.pro/remote/dispatcher/state_purchase_lot_view/1447153", "UA-2024-11-06-001677-a-L1447153")</f>
        <v/>
      </c>
      <c r="D104" s="2">
        <f>HYPERLINK("https://my.zakupivli.pro/remote/dispatcher/state_contracting_view/22118825", "UA-2024-11-06-001677-a-b1")</f>
        <v/>
      </c>
      <c r="E104" t="s" s="1">
        <v>673</v>
      </c>
      <c r="F104" t="s" s="1">
        <v>956</v>
      </c>
      <c r="G104" t="s" s="1">
        <v>1699</v>
      </c>
      <c r="H104" t="s" s="1">
        <v>958</v>
      </c>
      <c r="I104" t="s" s="1">
        <v>1697</v>
      </c>
      <c r="J104" t="s" s="1">
        <v>1741</v>
      </c>
      <c r="K104" t="s" s="1">
        <v>534</v>
      </c>
      <c r="L104" t="s" s="1">
        <v>197</v>
      </c>
      <c r="M104" t="n" s="7">
        <v>214270.0</v>
      </c>
      <c r="N104" t="n" s="6">
        <v>45617.0</v>
      </c>
      <c r="O104" t="n" s="6">
        <v>45657.0</v>
      </c>
      <c r="P104" t="s" s="1">
        <v>2036</v>
      </c>
    </row>
    <row r="105" spans="1:16">
      <c r="A105" t="n" s="4">
        <v>101</v>
      </c>
      <c r="B105" s="2">
        <f>HYPERLINK("https://my.zakupivli.pro/remote/dispatcher/state_purchase_view/50899707", "UA-2024-05-09-001879-a")</f>
        <v/>
      </c>
      <c r="C105" s="2">
        <f>HYPERLINK("https://my.zakupivli.pro/remote/dispatcher/state_purchase_lot_view/1279662", "UA-2024-05-09-001879-a-L1279662")</f>
        <v/>
      </c>
      <c r="D105" s="2">
        <f>HYPERLINK("https://my.zakupivli.pro/remote/dispatcher/state_contracting_view/20522111", "UA-2024-05-09-001879-a-b1")</f>
        <v/>
      </c>
      <c r="E105" t="s" s="1">
        <v>1650</v>
      </c>
      <c r="F105" t="s" s="1">
        <v>1033</v>
      </c>
      <c r="G105" t="s" s="1">
        <v>1847</v>
      </c>
      <c r="H105" t="s" s="1">
        <v>1041</v>
      </c>
      <c r="I105" t="s" s="1">
        <v>1697</v>
      </c>
      <c r="J105" t="s" s="1">
        <v>1816</v>
      </c>
      <c r="K105" t="s" s="1">
        <v>1027</v>
      </c>
      <c r="L105" t="s" s="1">
        <v>374</v>
      </c>
      <c r="M105" t="n" s="7">
        <v>4458276.94</v>
      </c>
      <c r="N105" t="n" s="6">
        <v>45441.0</v>
      </c>
      <c r="O105" t="n" s="6">
        <v>45657.0</v>
      </c>
      <c r="P105" t="s" s="1">
        <v>2036</v>
      </c>
    </row>
    <row r="106" spans="1:16">
      <c r="A106" t="n" s="4">
        <v>102</v>
      </c>
      <c r="B106" s="2">
        <f>HYPERLINK("https://my.zakupivli.pro/remote/dispatcher/state_purchase_view/52890043", "UA-2024-08-23-007233-a")</f>
        <v/>
      </c>
      <c r="C106" t="s" s="2">
        <v>1795</v>
      </c>
      <c r="D106" s="2">
        <f>HYPERLINK("https://my.zakupivli.pro/remote/dispatcher/state_contracting_view/21278082", "UA-2024-08-23-007233-a-c1")</f>
        <v/>
      </c>
      <c r="E106" t="s" s="1">
        <v>1447</v>
      </c>
      <c r="F106" t="s" s="1">
        <v>697</v>
      </c>
      <c r="G106" t="s" s="1">
        <v>1774</v>
      </c>
      <c r="H106" t="s" s="1">
        <v>702</v>
      </c>
      <c r="I106" t="s" s="1">
        <v>1729</v>
      </c>
      <c r="J106" t="s" s="1">
        <v>1929</v>
      </c>
      <c r="K106" t="s" s="1">
        <v>316</v>
      </c>
      <c r="L106" t="s" s="1">
        <v>814</v>
      </c>
      <c r="M106" t="n" s="7">
        <v>10767.9</v>
      </c>
      <c r="N106" t="n" s="6">
        <v>45527.0</v>
      </c>
      <c r="O106" t="n" s="6">
        <v>45657.0</v>
      </c>
      <c r="P106" t="s" s="1">
        <v>2009</v>
      </c>
    </row>
    <row r="107" spans="1:16">
      <c r="A107" t="n" s="4">
        <v>103</v>
      </c>
      <c r="B107" s="2">
        <f>HYPERLINK("https://my.zakupivli.pro/remote/dispatcher/state_purchase_view/52889245", "UA-2024-08-23-006869-a")</f>
        <v/>
      </c>
      <c r="C107" t="s" s="2">
        <v>1795</v>
      </c>
      <c r="D107" s="2">
        <f>HYPERLINK("https://my.zakupivli.pro/remote/dispatcher/state_contracting_view/21277723", "UA-2024-08-23-006869-a-b1")</f>
        <v/>
      </c>
      <c r="E107" t="s" s="1">
        <v>1231</v>
      </c>
      <c r="F107" t="s" s="1">
        <v>1312</v>
      </c>
      <c r="G107" t="s" s="1">
        <v>2094</v>
      </c>
      <c r="H107" t="s" s="1">
        <v>1315</v>
      </c>
      <c r="I107" t="s" s="1">
        <v>1729</v>
      </c>
      <c r="J107" t="s" s="1">
        <v>1802</v>
      </c>
      <c r="K107" t="s" s="1">
        <v>920</v>
      </c>
      <c r="L107" t="s" s="1">
        <v>734</v>
      </c>
      <c r="M107" t="n" s="4">
        <v>31500</v>
      </c>
      <c r="N107" t="n" s="6">
        <v>45525.0</v>
      </c>
      <c r="O107" t="n" s="6">
        <v>45657.0</v>
      </c>
      <c r="P107" t="s" s="1">
        <v>2009</v>
      </c>
    </row>
    <row r="108" spans="1:16">
      <c r="A108" t="n" s="4">
        <v>104</v>
      </c>
      <c r="B108" s="2">
        <f>HYPERLINK("https://my.zakupivli.pro/remote/dispatcher/state_purchase_view/52902695", "UA-2024-08-26-001712-a")</f>
        <v/>
      </c>
      <c r="C108" t="s" s="2">
        <v>1795</v>
      </c>
      <c r="D108" s="2">
        <f>HYPERLINK("https://my.zakupivli.pro/remote/dispatcher/state_contracting_view/21283453", "UA-2024-08-26-001712-a-c1")</f>
        <v/>
      </c>
      <c r="E108" t="s" s="1">
        <v>1498</v>
      </c>
      <c r="F108" t="s" s="1">
        <v>406</v>
      </c>
      <c r="G108" t="s" s="1">
        <v>411</v>
      </c>
      <c r="H108" t="s" s="1">
        <v>410</v>
      </c>
      <c r="I108" t="s" s="1">
        <v>1729</v>
      </c>
      <c r="J108" t="s" s="1">
        <v>1937</v>
      </c>
      <c r="K108" t="s" s="1">
        <v>400</v>
      </c>
      <c r="L108" t="s" s="1">
        <v>815</v>
      </c>
      <c r="M108" t="n" s="7">
        <v>49915.2</v>
      </c>
      <c r="N108" t="n" s="6">
        <v>45527.0</v>
      </c>
      <c r="O108" t="n" s="6">
        <v>45657.0</v>
      </c>
      <c r="P108" t="s" s="1">
        <v>2009</v>
      </c>
    </row>
    <row r="109" spans="1:16">
      <c r="A109" t="n" s="4">
        <v>105</v>
      </c>
      <c r="B109" s="2">
        <f>HYPERLINK("https://my.zakupivli.pro/remote/dispatcher/state_purchase_view/51995046", "UA-2024-07-04-007010-a")</f>
        <v/>
      </c>
      <c r="C109" t="s" s="2">
        <v>1795</v>
      </c>
      <c r="D109" s="2">
        <f>HYPERLINK("https://my.zakupivli.pro/remote/dispatcher/state_contracting_view/20888935", "UA-2024-07-04-007010-a-a1")</f>
        <v/>
      </c>
      <c r="E109" t="s" s="1">
        <v>1397</v>
      </c>
      <c r="F109" t="s" s="1">
        <v>873</v>
      </c>
      <c r="G109" t="s" s="1">
        <v>877</v>
      </c>
      <c r="H109" t="s" s="1">
        <v>876</v>
      </c>
      <c r="I109" t="s" s="1">
        <v>1729</v>
      </c>
      <c r="J109" t="s" s="1">
        <v>1911</v>
      </c>
      <c r="K109" t="s" s="1">
        <v>723</v>
      </c>
      <c r="L109" t="s" s="1">
        <v>609</v>
      </c>
      <c r="M109" t="n" s="7">
        <v>17999.0</v>
      </c>
      <c r="N109" t="n" s="6">
        <v>45476.0</v>
      </c>
      <c r="O109" t="n" s="6">
        <v>45657.0</v>
      </c>
      <c r="P109" t="s" s="1">
        <v>2009</v>
      </c>
    </row>
    <row r="110" spans="1:16">
      <c r="A110" t="n" s="4">
        <v>106</v>
      </c>
      <c r="B110" s="2">
        <f>HYPERLINK("https://my.zakupivli.pro/remote/dispatcher/state_purchase_view/53387456", "UA-2024-09-18-000435-a")</f>
        <v/>
      </c>
      <c r="C110" t="s" s="2">
        <v>1795</v>
      </c>
      <c r="D110" s="2">
        <f>HYPERLINK("https://my.zakupivli.pro/remote/dispatcher/state_contracting_view/21490577", "UA-2024-09-18-000435-a-b1")</f>
        <v/>
      </c>
      <c r="E110" t="s" s="1">
        <v>1520</v>
      </c>
      <c r="F110" t="s" s="1">
        <v>420</v>
      </c>
      <c r="G110" t="s" s="1">
        <v>425</v>
      </c>
      <c r="H110" t="s" s="1">
        <v>424</v>
      </c>
      <c r="I110" t="s" s="1">
        <v>1729</v>
      </c>
      <c r="J110" t="s" s="1">
        <v>1735</v>
      </c>
      <c r="K110" t="s" s="1">
        <v>337</v>
      </c>
      <c r="L110" t="s" s="1">
        <v>1065</v>
      </c>
      <c r="M110" t="n" s="7">
        <v>44490.0</v>
      </c>
      <c r="N110" t="n" s="6">
        <v>45553.0</v>
      </c>
      <c r="O110" t="n" s="6">
        <v>45657.0</v>
      </c>
      <c r="P110" t="s" s="1">
        <v>2009</v>
      </c>
    </row>
    <row r="111" spans="1:16">
      <c r="A111" t="n" s="4">
        <v>107</v>
      </c>
      <c r="B111" s="2">
        <f>HYPERLINK("https://my.zakupivli.pro/remote/dispatcher/state_purchase_view/52974882", "UA-2024-08-29-001095-a")</f>
        <v/>
      </c>
      <c r="C111" t="s" s="2">
        <v>1795</v>
      </c>
      <c r="D111" s="2">
        <f>HYPERLINK("https://my.zakupivli.pro/remote/dispatcher/state_contracting_view/21315040", "UA-2024-08-29-001095-a-c1")</f>
        <v/>
      </c>
      <c r="E111" t="s" s="1">
        <v>1193</v>
      </c>
      <c r="F111" t="s" s="1">
        <v>950</v>
      </c>
      <c r="G111" t="s" s="1">
        <v>950</v>
      </c>
      <c r="H111" t="s" s="1">
        <v>949</v>
      </c>
      <c r="I111" t="s" s="1">
        <v>1729</v>
      </c>
      <c r="J111" t="s" s="1">
        <v>1917</v>
      </c>
      <c r="K111" t="s" s="1">
        <v>546</v>
      </c>
      <c r="L111" t="s" s="1">
        <v>1184</v>
      </c>
      <c r="M111" t="n" s="7">
        <v>27572.58</v>
      </c>
      <c r="N111" t="n" s="6">
        <v>45532.0</v>
      </c>
      <c r="O111" t="n" s="6">
        <v>45657.0</v>
      </c>
      <c r="P111" t="s" s="1">
        <v>2009</v>
      </c>
    </row>
    <row r="112" spans="1:16">
      <c r="A112" t="n" s="4">
        <v>108</v>
      </c>
      <c r="B112" s="2">
        <f>HYPERLINK("https://my.zakupivli.pro/remote/dispatcher/state_purchase_view/53903118", "UA-2024-10-10-004593-a")</f>
        <v/>
      </c>
      <c r="C112" t="s" s="2">
        <v>1795</v>
      </c>
      <c r="D112" s="2">
        <f>HYPERLINK("https://my.zakupivli.pro/remote/dispatcher/state_contracting_view/21710939", "UA-2024-10-10-004593-a-c1")</f>
        <v/>
      </c>
      <c r="E112" t="s" s="1">
        <v>1563</v>
      </c>
      <c r="F112" t="s" s="1">
        <v>539</v>
      </c>
      <c r="G112" t="s" s="1">
        <v>295</v>
      </c>
      <c r="H112" t="s" s="1">
        <v>540</v>
      </c>
      <c r="I112" t="s" s="1">
        <v>1729</v>
      </c>
      <c r="J112" t="s" s="1">
        <v>1990</v>
      </c>
      <c r="K112" t="s" s="1">
        <v>333</v>
      </c>
      <c r="L112" t="s" s="1">
        <v>1127</v>
      </c>
      <c r="M112" t="n" s="4">
        <v>14850</v>
      </c>
      <c r="N112" t="n" s="6">
        <v>45574.0</v>
      </c>
      <c r="O112" t="n" s="6">
        <v>45657.0</v>
      </c>
      <c r="P112" t="s" s="1">
        <v>2009</v>
      </c>
    </row>
    <row r="113" spans="1:16">
      <c r="A113" t="n" s="4">
        <v>109</v>
      </c>
      <c r="B113" s="2">
        <f>HYPERLINK("https://my.zakupivli.pro/remote/dispatcher/state_purchase_view/52060257", "UA-2024-07-09-003221-a")</f>
        <v/>
      </c>
      <c r="C113" t="s" s="2">
        <v>1795</v>
      </c>
      <c r="D113" s="2">
        <f>HYPERLINK("https://my.zakupivli.pro/remote/dispatcher/state_contracting_view/20917384", "UA-2024-07-09-003221-a-c1")</f>
        <v/>
      </c>
      <c r="E113" t="s" s="1">
        <v>1645</v>
      </c>
      <c r="F113" t="s" s="1">
        <v>1328</v>
      </c>
      <c r="G113" t="s" s="1">
        <v>2053</v>
      </c>
      <c r="H113" t="s" s="1">
        <v>1323</v>
      </c>
      <c r="I113" t="s" s="1">
        <v>1729</v>
      </c>
      <c r="J113" t="s" s="1">
        <v>1709</v>
      </c>
      <c r="K113" t="s" s="1">
        <v>22</v>
      </c>
      <c r="L113" t="s" s="1">
        <v>243</v>
      </c>
      <c r="M113" t="n" s="7">
        <v>16531.2</v>
      </c>
      <c r="N113" t="n" s="6">
        <v>45482.0</v>
      </c>
      <c r="O113" t="n" s="6">
        <v>45657.0</v>
      </c>
      <c r="P113" t="s" s="1">
        <v>2009</v>
      </c>
    </row>
    <row r="114" spans="1:16">
      <c r="A114" t="n" s="4">
        <v>110</v>
      </c>
      <c r="B114" s="2">
        <f>HYPERLINK("https://my.zakupivli.pro/remote/dispatcher/state_purchase_view/54145184", "UA-2024-10-21-004288-a")</f>
        <v/>
      </c>
      <c r="C114" t="s" s="2">
        <v>1795</v>
      </c>
      <c r="D114" s="2">
        <f>HYPERLINK("https://my.zakupivli.pro/remote/dispatcher/state_contracting_view/21815867", "UA-2024-10-21-004288-a-c1")</f>
        <v/>
      </c>
      <c r="E114" t="s" s="1">
        <v>1420</v>
      </c>
      <c r="F114" t="s" s="1">
        <v>1018</v>
      </c>
      <c r="G114" t="s" s="1">
        <v>1020</v>
      </c>
      <c r="H114" t="s" s="1">
        <v>1019</v>
      </c>
      <c r="I114" t="s" s="1">
        <v>1729</v>
      </c>
      <c r="J114" t="s" s="1">
        <v>1904</v>
      </c>
      <c r="K114" t="s" s="1">
        <v>836</v>
      </c>
      <c r="L114" t="s" s="1">
        <v>1138</v>
      </c>
      <c r="M114" t="n" s="4">
        <v>20910</v>
      </c>
      <c r="N114" t="n" s="6">
        <v>45586.0</v>
      </c>
      <c r="O114" t="n" s="6">
        <v>45657.0</v>
      </c>
      <c r="P114" t="s" s="1">
        <v>2009</v>
      </c>
    </row>
    <row r="115" spans="1:16">
      <c r="A115" t="n" s="4">
        <v>111</v>
      </c>
      <c r="B115" s="2">
        <f>HYPERLINK("https://my.zakupivli.pro/remote/dispatcher/state_purchase_view/52926891", "UA-2024-08-27-002726-a")</f>
        <v/>
      </c>
      <c r="C115" s="2">
        <f>HYPERLINK("https://my.zakupivli.pro/remote/dispatcher/state_purchase_lot_view/1372674", "UA-2024-08-27-002726-a-L1372674")</f>
        <v/>
      </c>
      <c r="D115" s="2">
        <f>HYPERLINK("https://my.zakupivli.pro/remote/dispatcher/state_contracting_view/21382371", "UA-2024-08-27-002726-a-b1")</f>
        <v/>
      </c>
      <c r="E115" t="s" s="1">
        <v>478</v>
      </c>
      <c r="F115" t="s" s="1">
        <v>516</v>
      </c>
      <c r="G115" t="s" s="1">
        <v>1967</v>
      </c>
      <c r="H115" t="s" s="1">
        <v>521</v>
      </c>
      <c r="I115" t="s" s="1">
        <v>1697</v>
      </c>
      <c r="J115" t="s" s="1">
        <v>1920</v>
      </c>
      <c r="K115" t="s" s="1">
        <v>261</v>
      </c>
      <c r="L115" t="s" s="1">
        <v>1069</v>
      </c>
      <c r="M115" t="n" s="7">
        <v>273768.0</v>
      </c>
      <c r="N115" t="n" s="6">
        <v>45554.0</v>
      </c>
      <c r="O115" t="n" s="6">
        <v>45657.0</v>
      </c>
      <c r="P115" t="s" s="1">
        <v>2036</v>
      </c>
    </row>
    <row r="116" spans="1:16">
      <c r="A116" t="n" s="4">
        <v>112</v>
      </c>
      <c r="B116" s="2">
        <f>HYPERLINK("https://my.zakupivli.pro/remote/dispatcher/state_purchase_view/50790410", "UA-2024-05-02-003994-a")</f>
        <v/>
      </c>
      <c r="C116" t="s" s="2">
        <v>1795</v>
      </c>
      <c r="D116" s="2">
        <f>HYPERLINK("https://my.zakupivli.pro/remote/dispatcher/state_contracting_view/19957169", "UA-2024-05-02-003994-a-c1")</f>
        <v/>
      </c>
      <c r="E116" t="s" s="1">
        <v>1516</v>
      </c>
      <c r="F116" t="s" s="1">
        <v>517</v>
      </c>
      <c r="G116" t="s" s="1">
        <v>517</v>
      </c>
      <c r="H116" t="s" s="1">
        <v>514</v>
      </c>
      <c r="I116" t="s" s="1">
        <v>1729</v>
      </c>
      <c r="J116" t="s" s="1">
        <v>1915</v>
      </c>
      <c r="K116" t="s" s="1">
        <v>834</v>
      </c>
      <c r="L116" t="s" s="1">
        <v>326</v>
      </c>
      <c r="M116" t="n" s="7">
        <v>27000.0</v>
      </c>
      <c r="N116" t="n" s="6">
        <v>45414.0</v>
      </c>
      <c r="O116" t="n" s="6">
        <v>45657.0</v>
      </c>
      <c r="P116" t="s" s="1">
        <v>2009</v>
      </c>
    </row>
    <row r="117" spans="1:16">
      <c r="A117" t="n" s="4">
        <v>113</v>
      </c>
      <c r="B117" s="2">
        <f>HYPERLINK("https://my.zakupivli.pro/remote/dispatcher/state_purchase_view/50802675", "UA-2024-05-02-009534-a")</f>
        <v/>
      </c>
      <c r="C117" t="s" s="2">
        <v>1795</v>
      </c>
      <c r="D117" s="2">
        <f>HYPERLINK("https://my.zakupivli.pro/remote/dispatcher/state_contracting_view/19962620", "UA-2024-05-02-009534-a-a1")</f>
        <v/>
      </c>
      <c r="E117" t="s" s="1">
        <v>1513</v>
      </c>
      <c r="F117" t="s" s="1">
        <v>1294</v>
      </c>
      <c r="G117" t="s" s="1">
        <v>2089</v>
      </c>
      <c r="H117" t="s" s="1">
        <v>1291</v>
      </c>
      <c r="I117" t="s" s="1">
        <v>1729</v>
      </c>
      <c r="J117" t="s" s="1">
        <v>1876</v>
      </c>
      <c r="K117" t="s" s="1">
        <v>398</v>
      </c>
      <c r="L117" t="s" s="1">
        <v>1450</v>
      </c>
      <c r="M117" t="n" s="4">
        <v>39000</v>
      </c>
      <c r="N117" t="n" s="6">
        <v>45414.0</v>
      </c>
      <c r="O117" t="n" s="6">
        <v>45657.0</v>
      </c>
      <c r="P117" t="s" s="1">
        <v>2009</v>
      </c>
    </row>
    <row r="118" spans="1:16">
      <c r="A118" t="n" s="4">
        <v>114</v>
      </c>
      <c r="B118" s="2">
        <f>HYPERLINK("https://my.zakupivli.pro/remote/dispatcher/state_purchase_view/50334741", "UA-2024-04-10-006345-a")</f>
        <v/>
      </c>
      <c r="C118" t="s" s="2">
        <v>1795</v>
      </c>
      <c r="D118" s="2">
        <f>HYPERLINK("https://my.zakupivli.pro/remote/dispatcher/state_contracting_view/19754246", "UA-2024-04-10-006345-a-b1")</f>
        <v/>
      </c>
      <c r="E118" t="s" s="1">
        <v>1553</v>
      </c>
      <c r="F118" t="s" s="1">
        <v>140</v>
      </c>
      <c r="G118" t="s" s="1">
        <v>2050</v>
      </c>
      <c r="H118" t="s" s="1">
        <v>141</v>
      </c>
      <c r="I118" t="s" s="1">
        <v>1729</v>
      </c>
      <c r="J118" t="s" s="1">
        <v>1933</v>
      </c>
      <c r="K118" t="s" s="1">
        <v>833</v>
      </c>
      <c r="L118" t="s" s="1">
        <v>219</v>
      </c>
      <c r="M118" t="n" s="4">
        <v>48540</v>
      </c>
      <c r="N118" t="n" s="6">
        <v>45390.0</v>
      </c>
      <c r="O118" t="n" s="6">
        <v>45657.0</v>
      </c>
      <c r="P118" t="s" s="1">
        <v>2009</v>
      </c>
    </row>
    <row r="119" spans="1:16">
      <c r="A119" t="n" s="4">
        <v>115</v>
      </c>
      <c r="B119" s="2">
        <f>HYPERLINK("https://my.zakupivli.pro/remote/dispatcher/state_purchase_view/49756575", "UA-2024-03-13-003312-a")</f>
        <v/>
      </c>
      <c r="C119" t="s" s="2">
        <v>1795</v>
      </c>
      <c r="D119" s="2">
        <f>HYPERLINK("https://my.zakupivli.pro/remote/dispatcher/state_contracting_view/19503579", "UA-2024-03-13-003312-a-a1")</f>
        <v/>
      </c>
      <c r="E119" t="s" s="1">
        <v>1618</v>
      </c>
      <c r="F119" t="s" s="1">
        <v>944</v>
      </c>
      <c r="G119" t="s" s="1">
        <v>948</v>
      </c>
      <c r="H119" t="s" s="1">
        <v>947</v>
      </c>
      <c r="I119" t="s" s="1">
        <v>1729</v>
      </c>
      <c r="J119" t="s" s="1">
        <v>1815</v>
      </c>
      <c r="K119" t="s" s="1">
        <v>648</v>
      </c>
      <c r="L119" t="s" s="1">
        <v>142</v>
      </c>
      <c r="M119" t="n" s="7">
        <v>4440.0</v>
      </c>
      <c r="N119" t="n" s="6">
        <v>45362.0</v>
      </c>
      <c r="O119" t="n" s="6">
        <v>45657.0</v>
      </c>
      <c r="P119" t="s" s="1">
        <v>2009</v>
      </c>
    </row>
    <row r="120" spans="1:16">
      <c r="A120" t="n" s="4">
        <v>116</v>
      </c>
      <c r="B120" s="2">
        <f>HYPERLINK("https://my.zakupivli.pro/remote/dispatcher/state_purchase_view/50116041", "UA-2024-03-29-008153-a")</f>
        <v/>
      </c>
      <c r="C120" s="2">
        <f>HYPERLINK("https://my.zakupivli.pro/remote/dispatcher/state_purchase_lot_view/1245783", "UA-2024-03-29-008153-a-L1245783")</f>
        <v/>
      </c>
      <c r="D120" s="2">
        <f>HYPERLINK("https://my.zakupivli.pro/remote/dispatcher/state_contracting_view/19876038", "UA-2024-03-29-008153-a-a1")</f>
        <v/>
      </c>
      <c r="E120" t="s" s="1">
        <v>1395</v>
      </c>
      <c r="F120" t="s" s="1">
        <v>618</v>
      </c>
      <c r="G120" t="s" s="1">
        <v>1790</v>
      </c>
      <c r="H120" t="s" s="1">
        <v>621</v>
      </c>
      <c r="I120" t="s" s="1">
        <v>1697</v>
      </c>
      <c r="J120" t="s" s="1">
        <v>1971</v>
      </c>
      <c r="K120" t="s" s="1">
        <v>960</v>
      </c>
      <c r="L120" t="s" s="1">
        <v>325</v>
      </c>
      <c r="M120" t="n" s="7">
        <v>86299.92</v>
      </c>
      <c r="N120" t="n" s="6">
        <v>45405.0</v>
      </c>
      <c r="O120" t="n" s="6">
        <v>45657.0</v>
      </c>
      <c r="P120" t="s" s="1">
        <v>2036</v>
      </c>
    </row>
    <row r="121" spans="1:16">
      <c r="A121" t="n" s="4">
        <v>117</v>
      </c>
      <c r="B121" s="2">
        <f>HYPERLINK("https://my.zakupivli.pro/remote/dispatcher/state_purchase_view/50623998", "UA-2024-04-24-005998-a")</f>
        <v/>
      </c>
      <c r="C121" t="s" s="2">
        <v>1795</v>
      </c>
      <c r="D121" s="2">
        <f>HYPERLINK("https://my.zakupivli.pro/remote/dispatcher/state_contracting_view/19883685", "UA-2024-04-24-005998-a-b1")</f>
        <v/>
      </c>
      <c r="E121" t="s" s="1">
        <v>799</v>
      </c>
      <c r="F121" t="s" s="1">
        <v>1409</v>
      </c>
      <c r="G121" t="s" s="1">
        <v>1409</v>
      </c>
      <c r="H121" t="s" s="1">
        <v>1408</v>
      </c>
      <c r="I121" t="s" s="1">
        <v>1729</v>
      </c>
      <c r="J121" t="s" s="1">
        <v>1784</v>
      </c>
      <c r="K121" t="s" s="1">
        <v>342</v>
      </c>
      <c r="L121" t="s" s="1">
        <v>332</v>
      </c>
      <c r="M121" t="n" s="7">
        <v>3612.0</v>
      </c>
      <c r="N121" t="n" s="6">
        <v>45406.0</v>
      </c>
      <c r="O121" t="n" s="6">
        <v>45657.0</v>
      </c>
      <c r="P121" t="s" s="1">
        <v>2009</v>
      </c>
    </row>
    <row r="122" spans="1:16">
      <c r="A122" t="n" s="4">
        <v>118</v>
      </c>
      <c r="B122" s="2">
        <f>HYPERLINK("https://my.zakupivli.pro/remote/dispatcher/state_purchase_view/50392513", "UA-2024-04-12-006775-a")</f>
        <v/>
      </c>
      <c r="C122" t="s" s="2">
        <v>1795</v>
      </c>
      <c r="D122" s="2">
        <f>HYPERLINK("https://my.zakupivli.pro/remote/dispatcher/state_contracting_view/19780282", "UA-2024-04-12-006775-a-c1")</f>
        <v/>
      </c>
      <c r="E122" t="s" s="1">
        <v>144</v>
      </c>
      <c r="F122" t="s" s="1">
        <v>1022</v>
      </c>
      <c r="G122" t="s" s="1">
        <v>1025</v>
      </c>
      <c r="H122" t="s" s="1">
        <v>1024</v>
      </c>
      <c r="I122" t="s" s="1">
        <v>1729</v>
      </c>
      <c r="J122" t="s" s="1">
        <v>1815</v>
      </c>
      <c r="K122" t="s" s="1">
        <v>648</v>
      </c>
      <c r="L122" t="s" s="1">
        <v>224</v>
      </c>
      <c r="M122" t="n" s="7">
        <v>4617.6</v>
      </c>
      <c r="N122" t="n" s="6">
        <v>45393.0</v>
      </c>
      <c r="O122" t="n" s="6">
        <v>45657.0</v>
      </c>
      <c r="P122" t="s" s="1">
        <v>2009</v>
      </c>
    </row>
    <row r="123" spans="1:16">
      <c r="A123" t="n" s="4">
        <v>119</v>
      </c>
      <c r="B123" s="2">
        <f>HYPERLINK("https://my.zakupivli.pro/remote/dispatcher/state_purchase_view/49984450", "UA-2024-03-22-010418-a")</f>
        <v/>
      </c>
      <c r="C123" t="s" s="2">
        <v>1795</v>
      </c>
      <c r="D123" s="2">
        <f>HYPERLINK("https://my.zakupivli.pro/remote/dispatcher/state_contracting_view/19601366", "UA-2024-03-22-010418-a-a1")</f>
        <v/>
      </c>
      <c r="E123" t="s" s="1">
        <v>1610</v>
      </c>
      <c r="F123" t="s" s="1">
        <v>965</v>
      </c>
      <c r="G123" t="s" s="1">
        <v>969</v>
      </c>
      <c r="H123" t="s" s="1">
        <v>968</v>
      </c>
      <c r="I123" t="s" s="1">
        <v>1729</v>
      </c>
      <c r="J123" t="s" s="1">
        <v>1954</v>
      </c>
      <c r="K123" t="s" s="1">
        <v>102</v>
      </c>
      <c r="L123" t="s" s="1">
        <v>39</v>
      </c>
      <c r="M123" t="n" s="7">
        <v>18360.0</v>
      </c>
      <c r="N123" t="n" s="6">
        <v>45371.0</v>
      </c>
      <c r="O123" t="n" s="6">
        <v>45657.0</v>
      </c>
      <c r="P123" t="s" s="1">
        <v>2009</v>
      </c>
    </row>
    <row r="124" spans="1:16">
      <c r="A124" t="n" s="4">
        <v>120</v>
      </c>
      <c r="B124" s="2">
        <f>HYPERLINK("https://my.zakupivli.pro/remote/dispatcher/state_purchase_view/48198173", "UA-2024-01-05-004010-a")</f>
        <v/>
      </c>
      <c r="C124" t="s" s="2">
        <v>1795</v>
      </c>
      <c r="D124" s="2">
        <f>HYPERLINK("https://my.zakupivli.pro/remote/dispatcher/state_contracting_view/18842651", "UA-2024-01-05-004010-a-b1")</f>
        <v/>
      </c>
      <c r="E124" t="s" s="1">
        <v>1552</v>
      </c>
      <c r="F124" t="s" s="1">
        <v>600</v>
      </c>
      <c r="G124" t="s" s="1">
        <v>602</v>
      </c>
      <c r="H124" t="s" s="1">
        <v>601</v>
      </c>
      <c r="I124" t="s" s="1">
        <v>1729</v>
      </c>
      <c r="J124" t="s" s="1">
        <v>1895</v>
      </c>
      <c r="K124" t="s" s="1">
        <v>871</v>
      </c>
      <c r="L124" t="s" s="1">
        <v>1285</v>
      </c>
      <c r="M124" t="n" s="7">
        <v>34820.0</v>
      </c>
      <c r="N124" t="n" s="6">
        <v>45295.0</v>
      </c>
      <c r="O124" t="n" s="6">
        <v>45657.0</v>
      </c>
      <c r="P124" t="s" s="1">
        <v>2009</v>
      </c>
    </row>
    <row r="125" spans="1:16">
      <c r="A125" t="n" s="4">
        <v>121</v>
      </c>
      <c r="B125" s="2">
        <f>HYPERLINK("https://my.zakupivli.pro/remote/dispatcher/state_purchase_view/48394659", "UA-2024-01-16-011161-a")</f>
        <v/>
      </c>
      <c r="C125" t="s" s="2">
        <v>1795</v>
      </c>
      <c r="D125" s="2">
        <f>HYPERLINK("https://my.zakupivli.pro/remote/dispatcher/state_contracting_view/18920653", "UA-2024-01-16-011161-a-b1")</f>
        <v/>
      </c>
      <c r="E125" t="s" s="1">
        <v>1375</v>
      </c>
      <c r="F125" t="s" s="1">
        <v>1098</v>
      </c>
      <c r="G125" t="s" s="1">
        <v>1098</v>
      </c>
      <c r="H125" t="s" s="1">
        <v>1095</v>
      </c>
      <c r="I125" t="s" s="1">
        <v>1729</v>
      </c>
      <c r="J125" t="s" s="1">
        <v>1922</v>
      </c>
      <c r="K125" t="s" s="1">
        <v>756</v>
      </c>
      <c r="L125" t="s" s="1">
        <v>527</v>
      </c>
      <c r="M125" t="n" s="7">
        <v>49100.0</v>
      </c>
      <c r="N125" t="n" s="6">
        <v>45306.0</v>
      </c>
      <c r="O125" t="n" s="6">
        <v>45657.0</v>
      </c>
      <c r="P125" t="s" s="1">
        <v>2009</v>
      </c>
    </row>
    <row r="126" spans="1:16">
      <c r="A126" t="n" s="4">
        <v>122</v>
      </c>
      <c r="B126" s="2">
        <f>HYPERLINK("https://my.zakupivli.pro/remote/dispatcher/state_purchase_view/48484731", "UA-2024-01-18-014670-a")</f>
        <v/>
      </c>
      <c r="C126" t="s" s="2">
        <v>1795</v>
      </c>
      <c r="D126" s="2">
        <f>HYPERLINK("https://my.zakupivli.pro/remote/dispatcher/state_contracting_view/18957786", "UA-2024-01-18-014670-a-b1")</f>
        <v/>
      </c>
      <c r="E126" t="s" s="1">
        <v>1071</v>
      </c>
      <c r="F126" t="s" s="1">
        <v>129</v>
      </c>
      <c r="G126" t="s" s="1">
        <v>129</v>
      </c>
      <c r="H126" t="s" s="1">
        <v>128</v>
      </c>
      <c r="I126" t="s" s="1">
        <v>1729</v>
      </c>
      <c r="J126" t="s" s="1">
        <v>1931</v>
      </c>
      <c r="K126" t="s" s="1">
        <v>824</v>
      </c>
      <c r="L126" t="s" s="1">
        <v>912</v>
      </c>
      <c r="M126" t="n" s="7">
        <v>38000.0</v>
      </c>
      <c r="N126" t="n" s="6">
        <v>45309.0</v>
      </c>
      <c r="O126" t="n" s="6">
        <v>45657.0</v>
      </c>
      <c r="P126" t="s" s="1">
        <v>2009</v>
      </c>
    </row>
    <row r="127" spans="1:16">
      <c r="A127" t="n" s="4">
        <v>123</v>
      </c>
      <c r="B127" s="2">
        <f>HYPERLINK("https://my.zakupivli.pro/remote/dispatcher/state_purchase_view/49232668", "UA-2024-02-16-006417-a")</f>
        <v/>
      </c>
      <c r="C127" t="s" s="2">
        <v>1795</v>
      </c>
      <c r="D127" s="2">
        <f>HYPERLINK("https://my.zakupivli.pro/remote/dispatcher/state_contracting_view/19278144", "UA-2024-02-16-006417-a-b1")</f>
        <v/>
      </c>
      <c r="E127" t="s" s="1">
        <v>1151</v>
      </c>
      <c r="F127" t="s" s="1">
        <v>1341</v>
      </c>
      <c r="G127" t="s" s="1">
        <v>2068</v>
      </c>
      <c r="H127" t="s" s="1">
        <v>1339</v>
      </c>
      <c r="I127" t="s" s="1">
        <v>1729</v>
      </c>
      <c r="J127" t="s" s="1">
        <v>1827</v>
      </c>
      <c r="K127" t="s" s="1">
        <v>435</v>
      </c>
      <c r="L127" t="s" s="1">
        <v>13</v>
      </c>
      <c r="M127" t="n" s="7">
        <v>49900.0</v>
      </c>
      <c r="N127" t="n" s="6">
        <v>45337.0</v>
      </c>
      <c r="O127" t="n" s="6">
        <v>45657.0</v>
      </c>
      <c r="P127" t="s" s="1">
        <v>2009</v>
      </c>
    </row>
    <row r="128" spans="1:16">
      <c r="A128" t="n" s="4">
        <v>124</v>
      </c>
      <c r="B128" s="2">
        <f>HYPERLINK("https://my.zakupivli.pro/remote/dispatcher/state_purchase_view/49347268", "UA-2024-02-22-001266-a")</f>
        <v/>
      </c>
      <c r="C128" t="s" s="2">
        <v>1795</v>
      </c>
      <c r="D128" s="2">
        <f>HYPERLINK("https://my.zakupivli.pro/remote/dispatcher/state_contracting_view/19327838", "UA-2024-02-22-001266-a-c1")</f>
        <v/>
      </c>
      <c r="E128" t="s" s="1">
        <v>711</v>
      </c>
      <c r="F128" t="s" s="1">
        <v>744</v>
      </c>
      <c r="G128" t="s" s="1">
        <v>746</v>
      </c>
      <c r="H128" t="s" s="1">
        <v>745</v>
      </c>
      <c r="I128" t="s" s="1">
        <v>1729</v>
      </c>
      <c r="J128" t="s" s="1">
        <v>1921</v>
      </c>
      <c r="K128" t="s" s="1">
        <v>856</v>
      </c>
      <c r="L128" t="s" s="1">
        <v>86</v>
      </c>
      <c r="M128" t="n" s="7">
        <v>30800.0</v>
      </c>
      <c r="N128" t="n" s="6">
        <v>45343.0</v>
      </c>
      <c r="O128" t="n" s="6">
        <v>45657.0</v>
      </c>
      <c r="P128" t="s" s="1">
        <v>2009</v>
      </c>
    </row>
    <row r="129" spans="1:16">
      <c r="A129" t="n" s="4">
        <v>125</v>
      </c>
      <c r="B129" s="2">
        <f>HYPERLINK("https://my.zakupivli.pro/remote/dispatcher/state_purchase_view/49520696", "UA-2024-03-01-001622-a")</f>
        <v/>
      </c>
      <c r="C129" t="s" s="2">
        <v>1795</v>
      </c>
      <c r="D129" s="2">
        <f>HYPERLINK("https://my.zakupivli.pro/remote/dispatcher/state_contracting_view/19402867", "UA-2024-03-01-001622-a-c1")</f>
        <v/>
      </c>
      <c r="E129" t="s" s="1">
        <v>1271</v>
      </c>
      <c r="F129" t="s" s="1">
        <v>277</v>
      </c>
      <c r="G129" t="s" s="1">
        <v>277</v>
      </c>
      <c r="H129" t="s" s="1">
        <v>275</v>
      </c>
      <c r="I129" t="s" s="1">
        <v>1729</v>
      </c>
      <c r="J129" t="s" s="1">
        <v>1786</v>
      </c>
      <c r="K129" t="s" s="1">
        <v>313</v>
      </c>
      <c r="L129" t="s" s="1">
        <v>104</v>
      </c>
      <c r="M129" t="n" s="7">
        <v>34210.0</v>
      </c>
      <c r="N129" t="n" s="6">
        <v>45351.0</v>
      </c>
      <c r="O129" t="n" s="6">
        <v>45657.0</v>
      </c>
      <c r="P129" t="s" s="1">
        <v>2009</v>
      </c>
    </row>
    <row r="130" spans="1:16">
      <c r="A130" t="n" s="4">
        <v>126</v>
      </c>
      <c r="B130" s="2">
        <f>HYPERLINK("https://my.zakupivli.pro/remote/dispatcher/state_purchase_view/48925055", "UA-2024-02-05-004450-a")</f>
        <v/>
      </c>
      <c r="C130" t="s" s="2">
        <v>1795</v>
      </c>
      <c r="D130" s="2">
        <f>HYPERLINK("https://my.zakupivli.pro/remote/dispatcher/state_contracting_view/19146999", "UA-2024-02-05-004450-a-c1")</f>
        <v/>
      </c>
      <c r="E130" t="s" s="1">
        <v>1651</v>
      </c>
      <c r="F130" t="s" s="1">
        <v>928</v>
      </c>
      <c r="G130" t="s" s="1">
        <v>928</v>
      </c>
      <c r="H130" t="s" s="1">
        <v>925</v>
      </c>
      <c r="I130" t="s" s="1">
        <v>1729</v>
      </c>
      <c r="J130" t="s" s="1">
        <v>1911</v>
      </c>
      <c r="K130" t="s" s="1">
        <v>723</v>
      </c>
      <c r="L130" t="s" s="1">
        <v>1425</v>
      </c>
      <c r="M130" t="n" s="7">
        <v>31096.01</v>
      </c>
      <c r="N130" t="n" s="6">
        <v>45327.0</v>
      </c>
      <c r="O130" t="n" s="6">
        <v>45657.0</v>
      </c>
      <c r="P130" t="s" s="1">
        <v>2009</v>
      </c>
    </row>
    <row r="131" spans="1:16">
      <c r="A131" t="n" s="4">
        <v>127</v>
      </c>
      <c r="B131" s="2">
        <f>HYPERLINK("https://my.zakupivli.pro/remote/dispatcher/state_purchase_view/48647478", "UA-2024-01-24-014297-a")</f>
        <v/>
      </c>
      <c r="C131" t="s" s="2">
        <v>1795</v>
      </c>
      <c r="D131" s="2">
        <f>HYPERLINK("https://my.zakupivli.pro/remote/dispatcher/state_contracting_view/19027179", "UA-2024-01-24-014297-a-a1")</f>
        <v/>
      </c>
      <c r="E131" t="s" s="1">
        <v>1274</v>
      </c>
      <c r="F131" t="s" s="1">
        <v>635</v>
      </c>
      <c r="G131" t="s" s="1">
        <v>2001</v>
      </c>
      <c r="H131" t="s" s="1">
        <v>633</v>
      </c>
      <c r="I131" t="s" s="1">
        <v>1729</v>
      </c>
      <c r="J131" t="s" s="1">
        <v>2006</v>
      </c>
      <c r="K131" t="s" s="1">
        <v>380</v>
      </c>
      <c r="L131" t="s" s="1">
        <v>157</v>
      </c>
      <c r="M131" t="n" s="7">
        <v>32400.0</v>
      </c>
      <c r="N131" t="n" s="6">
        <v>45314.0</v>
      </c>
      <c r="O131" t="n" s="6">
        <v>45657.0</v>
      </c>
      <c r="P131" t="s" s="1">
        <v>2009</v>
      </c>
    </row>
    <row r="132" spans="1:16">
      <c r="A132" t="n" s="4">
        <v>128</v>
      </c>
      <c r="B132" s="2">
        <f>HYPERLINK("https://my.zakupivli.pro/remote/dispatcher/state_purchase_view/51590176", "UA-2024-06-12-010287-a")</f>
        <v/>
      </c>
      <c r="C132" t="s" s="2">
        <v>1795</v>
      </c>
      <c r="D132" s="2">
        <f>HYPERLINK("https://my.zakupivli.pro/remote/dispatcher/state_contracting_view/20712168", "UA-2024-06-12-010287-a-a1")</f>
        <v/>
      </c>
      <c r="E132" t="s" s="1">
        <v>1495</v>
      </c>
      <c r="F132" t="s" s="1">
        <v>1370</v>
      </c>
      <c r="G132" t="s" s="1">
        <v>1371</v>
      </c>
      <c r="H132" t="s" s="1">
        <v>1369</v>
      </c>
      <c r="I132" t="s" s="1">
        <v>1729</v>
      </c>
      <c r="J132" t="s" s="1">
        <v>1935</v>
      </c>
      <c r="K132" t="s" s="1">
        <v>668</v>
      </c>
      <c r="L132" t="s" s="1">
        <v>439</v>
      </c>
      <c r="M132" t="n" s="4">
        <v>147600</v>
      </c>
      <c r="N132" t="n" s="6">
        <v>45455.0</v>
      </c>
      <c r="O132" t="n" s="6">
        <v>45657.0</v>
      </c>
      <c r="P132" t="s" s="1">
        <v>2009</v>
      </c>
    </row>
    <row r="133" spans="1:16">
      <c r="A133" t="n" s="4">
        <v>129</v>
      </c>
      <c r="B133" s="2">
        <f>HYPERLINK("https://my.zakupivli.pro/remote/dispatcher/state_purchase_view/51570029", "UA-2024-06-12-001260-a")</f>
        <v/>
      </c>
      <c r="C133" t="s" s="2">
        <v>1795</v>
      </c>
      <c r="D133" s="2">
        <f>HYPERLINK("https://my.zakupivli.pro/remote/dispatcher/state_contracting_view/20703472", "UA-2024-06-12-001260-a-b1")</f>
        <v/>
      </c>
      <c r="E133" t="s" s="1">
        <v>1527</v>
      </c>
      <c r="F133" t="s" s="1">
        <v>1300</v>
      </c>
      <c r="G133" t="s" s="1">
        <v>2015</v>
      </c>
      <c r="H133" t="s" s="1">
        <v>1304</v>
      </c>
      <c r="I133" t="s" s="1">
        <v>1729</v>
      </c>
      <c r="J133" t="s" s="1">
        <v>1802</v>
      </c>
      <c r="K133" t="s" s="1">
        <v>920</v>
      </c>
      <c r="L133" t="s" s="1">
        <v>436</v>
      </c>
      <c r="M133" t="n" s="4">
        <v>145500</v>
      </c>
      <c r="N133" t="n" s="6">
        <v>45454.0</v>
      </c>
      <c r="O133" t="n" s="6">
        <v>45657.0</v>
      </c>
      <c r="P133" t="s" s="1">
        <v>2009</v>
      </c>
    </row>
    <row r="134" spans="1:16">
      <c r="A134" t="n" s="4">
        <v>130</v>
      </c>
      <c r="B134" s="2">
        <f>HYPERLINK("https://my.zakupivli.pro/remote/dispatcher/state_purchase_view/51895891", "UA-2024-06-28-002294-a")</f>
        <v/>
      </c>
      <c r="C134" t="s" s="2">
        <v>1795</v>
      </c>
      <c r="D134" s="2">
        <f>HYPERLINK("https://my.zakupivli.pro/remote/dispatcher/state_contracting_view/20845894", "UA-2024-06-28-002294-a-b1")</f>
        <v/>
      </c>
      <c r="E134" t="s" s="1">
        <v>1402</v>
      </c>
      <c r="F134" t="s" s="1">
        <v>1308</v>
      </c>
      <c r="G134" t="s" s="1">
        <v>2103</v>
      </c>
      <c r="H134" t="s" s="1">
        <v>1311</v>
      </c>
      <c r="I134" t="s" s="1">
        <v>1729</v>
      </c>
      <c r="J134" t="s" s="1">
        <v>1802</v>
      </c>
      <c r="K134" t="s" s="1">
        <v>920</v>
      </c>
      <c r="L134" t="s" s="1">
        <v>563</v>
      </c>
      <c r="M134" t="n" s="4">
        <v>31500</v>
      </c>
      <c r="N134" t="n" s="6">
        <v>45471.0</v>
      </c>
      <c r="O134" t="n" s="6">
        <v>45657.0</v>
      </c>
      <c r="P134" t="s" s="1">
        <v>2009</v>
      </c>
    </row>
    <row r="135" spans="1:16">
      <c r="A135" t="n" s="4">
        <v>131</v>
      </c>
      <c r="B135" s="2">
        <f>HYPERLINK("https://my.zakupivli.pro/remote/dispatcher/state_purchase_view/52225658", "UA-2024-07-18-005519-a")</f>
        <v/>
      </c>
      <c r="C135" t="s" s="2">
        <v>1795</v>
      </c>
      <c r="D135" s="2">
        <f>HYPERLINK("https://my.zakupivli.pro/remote/dispatcher/state_contracting_view/20990138", "UA-2024-07-18-005519-a-a1")</f>
        <v/>
      </c>
      <c r="E135" t="s" s="1">
        <v>1281</v>
      </c>
      <c r="F135" t="s" s="1">
        <v>1293</v>
      </c>
      <c r="G135" t="s" s="1">
        <v>2023</v>
      </c>
      <c r="H135" t="s" s="1">
        <v>1304</v>
      </c>
      <c r="I135" t="s" s="1">
        <v>1729</v>
      </c>
      <c r="J135" t="s" s="1">
        <v>1802</v>
      </c>
      <c r="K135" t="s" s="1">
        <v>920</v>
      </c>
      <c r="L135" t="s" s="1">
        <v>643</v>
      </c>
      <c r="M135" t="n" s="4">
        <v>72450</v>
      </c>
      <c r="N135" t="n" s="6">
        <v>45490.0</v>
      </c>
      <c r="O135" t="n" s="6">
        <v>45657.0</v>
      </c>
      <c r="P135" t="s" s="1">
        <v>2009</v>
      </c>
    </row>
    <row r="136" spans="1:16">
      <c r="A136" t="n" s="4">
        <v>132</v>
      </c>
      <c r="B136" s="2">
        <f>HYPERLINK("https://my.zakupivli.pro/remote/dispatcher/state_purchase_view/52226085", "UA-2024-07-18-005729-a")</f>
        <v/>
      </c>
      <c r="C136" t="s" s="2">
        <v>1795</v>
      </c>
      <c r="D136" s="2">
        <f>HYPERLINK("https://my.zakupivli.pro/remote/dispatcher/state_contracting_view/20990328", "UA-2024-07-18-005729-a-c1")</f>
        <v/>
      </c>
      <c r="E136" t="s" s="1">
        <v>1526</v>
      </c>
      <c r="F136" t="s" s="1">
        <v>464</v>
      </c>
      <c r="G136" t="s" s="1">
        <v>464</v>
      </c>
      <c r="H136" t="s" s="1">
        <v>461</v>
      </c>
      <c r="I136" t="s" s="1">
        <v>1729</v>
      </c>
      <c r="J136" t="s" s="1">
        <v>1929</v>
      </c>
      <c r="K136" t="s" s="1">
        <v>316</v>
      </c>
      <c r="L136" t="s" s="1">
        <v>655</v>
      </c>
      <c r="M136" t="n" s="7">
        <v>21175.2</v>
      </c>
      <c r="N136" t="n" s="6">
        <v>45491.0</v>
      </c>
      <c r="O136" t="n" s="6">
        <v>45657.0</v>
      </c>
      <c r="P136" t="s" s="1">
        <v>2009</v>
      </c>
    </row>
    <row r="137" spans="1:16">
      <c r="A137" t="n" s="4">
        <v>133</v>
      </c>
      <c r="B137" s="2">
        <f>HYPERLINK("https://my.zakupivli.pro/remote/dispatcher/state_purchase_view/52226538", "UA-2024-07-18-005901-a")</f>
        <v/>
      </c>
      <c r="C137" t="s" s="2">
        <v>1795</v>
      </c>
      <c r="D137" s="2">
        <f>HYPERLINK("https://my.zakupivli.pro/remote/dispatcher/state_contracting_view/20990494", "UA-2024-07-18-005901-a-c1")</f>
        <v/>
      </c>
      <c r="E137" t="s" s="1">
        <v>1556</v>
      </c>
      <c r="F137" t="s" s="1">
        <v>221</v>
      </c>
      <c r="G137" t="s" s="1">
        <v>221</v>
      </c>
      <c r="H137" t="s" s="1">
        <v>220</v>
      </c>
      <c r="I137" t="s" s="1">
        <v>1729</v>
      </c>
      <c r="J137" t="s" s="1">
        <v>1815</v>
      </c>
      <c r="K137" t="s" s="1">
        <v>648</v>
      </c>
      <c r="L137" t="s" s="1">
        <v>651</v>
      </c>
      <c r="M137" t="n" s="7">
        <v>12554.4</v>
      </c>
      <c r="N137" t="n" s="6">
        <v>45491.0</v>
      </c>
      <c r="O137" t="n" s="6">
        <v>45657.0</v>
      </c>
      <c r="P137" t="s" s="1">
        <v>2009</v>
      </c>
    </row>
    <row r="138" spans="1:16">
      <c r="A138" t="n" s="4">
        <v>134</v>
      </c>
      <c r="B138" s="2">
        <f>HYPERLINK("https://my.zakupivli.pro/remote/dispatcher/state_purchase_view/53328823", "UA-2024-09-16-003812-a")</f>
        <v/>
      </c>
      <c r="C138" t="s" s="2">
        <v>1795</v>
      </c>
      <c r="D138" s="2">
        <f>HYPERLINK("https://my.zakupivli.pro/remote/dispatcher/state_contracting_view/21465621", "UA-2024-09-16-003812-a-b1")</f>
        <v/>
      </c>
      <c r="E138" t="s" s="1">
        <v>1279</v>
      </c>
      <c r="F138" t="s" s="1">
        <v>1310</v>
      </c>
      <c r="G138" t="s" s="1">
        <v>2074</v>
      </c>
      <c r="H138" t="s" s="1">
        <v>1311</v>
      </c>
      <c r="I138" t="s" s="1">
        <v>1729</v>
      </c>
      <c r="J138" t="s" s="1">
        <v>1802</v>
      </c>
      <c r="K138" t="s" s="1">
        <v>920</v>
      </c>
      <c r="L138" t="s" s="1">
        <v>1060</v>
      </c>
      <c r="M138" t="n" s="4">
        <v>27000</v>
      </c>
      <c r="N138" t="n" s="6">
        <v>45551.0</v>
      </c>
      <c r="O138" t="n" s="6">
        <v>45657.0</v>
      </c>
      <c r="P138" t="s" s="1">
        <v>2009</v>
      </c>
    </row>
    <row r="139" spans="1:16">
      <c r="A139" t="n" s="4">
        <v>135</v>
      </c>
      <c r="B139" s="2">
        <f>HYPERLINK("https://my.zakupivli.pro/remote/dispatcher/state_purchase_view/53283247", "UA-2024-09-12-011424-a")</f>
        <v/>
      </c>
      <c r="C139" t="s" s="2">
        <v>1795</v>
      </c>
      <c r="D139" s="2">
        <f>HYPERLINK("https://my.zakupivli.pro/remote/dispatcher/state_contracting_view/21446179", "UA-2024-09-12-011424-a-b1")</f>
        <v/>
      </c>
      <c r="E139" t="s" s="1">
        <v>1517</v>
      </c>
      <c r="F139" t="s" s="1">
        <v>1322</v>
      </c>
      <c r="G139" t="s" s="1">
        <v>2051</v>
      </c>
      <c r="H139" t="s" s="1">
        <v>1329</v>
      </c>
      <c r="I139" t="s" s="1">
        <v>1729</v>
      </c>
      <c r="J139" t="s" s="1">
        <v>1736</v>
      </c>
      <c r="K139" t="s" s="1">
        <v>204</v>
      </c>
      <c r="L139" t="s" s="1">
        <v>363</v>
      </c>
      <c r="M139" t="n" s="7">
        <v>10346.06</v>
      </c>
      <c r="N139" t="n" s="6">
        <v>45547.0</v>
      </c>
      <c r="O139" t="n" s="6">
        <v>45657.0</v>
      </c>
      <c r="P139" t="s" s="1">
        <v>2009</v>
      </c>
    </row>
    <row r="140" spans="1:16">
      <c r="A140" t="n" s="4">
        <v>136</v>
      </c>
      <c r="B140" s="2">
        <f>HYPERLINK("https://my.zakupivli.pro/remote/dispatcher/state_purchase_view/54809389", "UA-2024-11-14-009225-a")</f>
        <v/>
      </c>
      <c r="C140" t="s" s="2">
        <v>1795</v>
      </c>
      <c r="D140" s="2">
        <f>HYPERLINK("https://my.zakupivli.pro/remote/dispatcher/state_contracting_view/22101597", "UA-2024-11-14-009225-a-c1")</f>
        <v/>
      </c>
      <c r="E140" t="s" s="1">
        <v>233</v>
      </c>
      <c r="F140" t="s" s="1">
        <v>1336</v>
      </c>
      <c r="G140" t="s" s="1">
        <v>2054</v>
      </c>
      <c r="H140" t="s" s="1">
        <v>1343</v>
      </c>
      <c r="I140" t="s" s="1">
        <v>1729</v>
      </c>
      <c r="J140" t="s" s="1">
        <v>1711</v>
      </c>
      <c r="K140" t="s" s="1">
        <v>33</v>
      </c>
      <c r="L140" t="s" s="1">
        <v>1179</v>
      </c>
      <c r="M140" t="n" s="7">
        <v>6910.4</v>
      </c>
      <c r="N140" t="n" s="6">
        <v>45609.0</v>
      </c>
      <c r="O140" t="n" s="6">
        <v>45657.0</v>
      </c>
      <c r="P140" t="s" s="1">
        <v>2009</v>
      </c>
    </row>
    <row r="141" spans="1:16">
      <c r="A141" t="n" s="4">
        <v>137</v>
      </c>
      <c r="B141" s="2">
        <f>HYPERLINK("https://my.zakupivli.pro/remote/dispatcher/state_purchase_view/54810170", "UA-2024-11-14-009522-a")</f>
        <v/>
      </c>
      <c r="C141" t="s" s="2">
        <v>1795</v>
      </c>
      <c r="D141" s="2">
        <f>HYPERLINK("https://my.zakupivli.pro/remote/dispatcher/state_contracting_view/22101868", "UA-2024-11-14-009522-a-a1")</f>
        <v/>
      </c>
      <c r="E141" t="s" s="1">
        <v>51</v>
      </c>
      <c r="F141" t="s" s="1">
        <v>728</v>
      </c>
      <c r="G141" t="s" s="1">
        <v>2106</v>
      </c>
      <c r="H141" t="s" s="1">
        <v>729</v>
      </c>
      <c r="I141" t="s" s="1">
        <v>1729</v>
      </c>
      <c r="J141" t="s" s="1">
        <v>1673</v>
      </c>
      <c r="K141" t="s" s="1">
        <v>331</v>
      </c>
      <c r="L141" t="s" s="1">
        <v>1152</v>
      </c>
      <c r="M141" t="n" s="4">
        <v>47952</v>
      </c>
      <c r="N141" t="n" s="6">
        <v>45609.0</v>
      </c>
      <c r="O141" t="n" s="6">
        <v>45657.0</v>
      </c>
      <c r="P141" t="s" s="1">
        <v>2009</v>
      </c>
    </row>
    <row r="142" spans="1:16">
      <c r="A142" t="n" s="4">
        <v>138</v>
      </c>
      <c r="B142" s="2">
        <f>HYPERLINK("https://my.zakupivli.pro/remote/dispatcher/state_purchase_view/50512440", "UA-2024-04-18-007058-a")</f>
        <v/>
      </c>
      <c r="C142" t="s" s="2">
        <v>1795</v>
      </c>
      <c r="D142" s="2">
        <f>HYPERLINK("https://my.zakupivli.pro/remote/dispatcher/state_contracting_view/19833921", "UA-2024-04-18-007058-a-b1")</f>
        <v/>
      </c>
      <c r="E142" t="s" s="1">
        <v>1606</v>
      </c>
      <c r="F142" t="s" s="1">
        <v>1243</v>
      </c>
      <c r="G142" t="s" s="1">
        <v>2101</v>
      </c>
      <c r="H142" t="s" s="1">
        <v>1241</v>
      </c>
      <c r="I142" t="s" s="1">
        <v>1729</v>
      </c>
      <c r="J142" t="s" s="1">
        <v>1669</v>
      </c>
      <c r="K142" t="s" s="1">
        <v>294</v>
      </c>
      <c r="L142" t="s" s="1">
        <v>242</v>
      </c>
      <c r="M142" t="n" s="4">
        <v>259008</v>
      </c>
      <c r="N142" t="n" s="6">
        <v>45397.0</v>
      </c>
      <c r="O142" t="n" s="6">
        <v>45657.0</v>
      </c>
      <c r="P142" t="s" s="1">
        <v>2036</v>
      </c>
    </row>
    <row r="143" spans="1:16">
      <c r="A143" t="n" s="4">
        <v>139</v>
      </c>
      <c r="B143" s="2">
        <f>HYPERLINK("https://my.zakupivli.pro/remote/dispatcher/state_purchase_view/50819606", "UA-2024-05-03-006044-a")</f>
        <v/>
      </c>
      <c r="C143" t="s" s="2">
        <v>1795</v>
      </c>
      <c r="D143" s="2">
        <f>HYPERLINK("https://my.zakupivli.pro/remote/dispatcher/state_contracting_view/20221535", "UA-2024-05-03-006044-a-c1")</f>
        <v/>
      </c>
      <c r="E143" t="s" s="1">
        <v>1489</v>
      </c>
      <c r="F143" t="s" s="1">
        <v>1034</v>
      </c>
      <c r="G143" t="s" s="1">
        <v>2080</v>
      </c>
      <c r="H143" t="s" s="1">
        <v>1031</v>
      </c>
      <c r="I143" t="s" s="1">
        <v>1729</v>
      </c>
      <c r="J143" t="s" s="1">
        <v>1816</v>
      </c>
      <c r="K143" t="s" s="1">
        <v>1027</v>
      </c>
      <c r="L143" t="s" s="1">
        <v>338</v>
      </c>
      <c r="M143" t="n" s="7">
        <v>198569.52</v>
      </c>
      <c r="N143" t="n" s="6">
        <v>45412.0</v>
      </c>
      <c r="O143" t="n" s="6">
        <v>45657.0</v>
      </c>
      <c r="P143" t="s" s="1">
        <v>2036</v>
      </c>
    </row>
    <row r="144" spans="1:16">
      <c r="A144" t="n" s="4">
        <v>140</v>
      </c>
      <c r="B144" s="2">
        <f>HYPERLINK("https://my.zakupivli.pro/remote/dispatcher/state_purchase_view/52974307", "UA-2024-08-29-000823-a")</f>
        <v/>
      </c>
      <c r="C144" t="s" s="2">
        <v>1795</v>
      </c>
      <c r="D144" s="2">
        <f>HYPERLINK("https://my.zakupivli.pro/remote/dispatcher/state_contracting_view/21314769", "UA-2024-08-29-000823-a-c1")</f>
        <v/>
      </c>
      <c r="E144" t="s" s="1">
        <v>1480</v>
      </c>
      <c r="F144" t="s" s="1">
        <v>454</v>
      </c>
      <c r="G144" t="s" s="1">
        <v>1744</v>
      </c>
      <c r="H144" t="s" s="1">
        <v>460</v>
      </c>
      <c r="I144" t="s" s="1">
        <v>1729</v>
      </c>
      <c r="J144" t="s" s="1">
        <v>1910</v>
      </c>
      <c r="K144" t="s" s="1">
        <v>726</v>
      </c>
      <c r="L144" t="s" s="1">
        <v>817</v>
      </c>
      <c r="M144" t="n" s="7">
        <v>50751.6</v>
      </c>
      <c r="N144" t="n" s="6">
        <v>45531.0</v>
      </c>
      <c r="O144" t="n" s="6">
        <v>45657.0</v>
      </c>
      <c r="P144" t="s" s="1">
        <v>2036</v>
      </c>
    </row>
    <row r="145" spans="1:16">
      <c r="A145" t="n" s="4">
        <v>141</v>
      </c>
      <c r="B145" s="2">
        <f>HYPERLINK("https://my.zakupivli.pro/remote/dispatcher/state_purchase_view/49334034", "UA-2024-02-21-009732-a")</f>
        <v/>
      </c>
      <c r="C145" s="2">
        <f>HYPERLINK("https://my.zakupivli.pro/remote/dispatcher/state_purchase_lot_view/1212408", "UA-2024-02-21-009732-a-L1212408")</f>
        <v/>
      </c>
      <c r="D145" s="2">
        <f>HYPERLINK("https://my.zakupivli.pro/remote/dispatcher/state_contracting_view/19540584", "UA-2024-02-21-009732-a-b1")</f>
        <v/>
      </c>
      <c r="E145" t="s" s="1">
        <v>1270</v>
      </c>
      <c r="F145" t="s" s="1">
        <v>3</v>
      </c>
      <c r="G145" t="s" s="1">
        <v>1999</v>
      </c>
      <c r="H145" t="s" s="1">
        <v>601</v>
      </c>
      <c r="I145" t="s" s="1">
        <v>1697</v>
      </c>
      <c r="J145" t="s" s="1">
        <v>1980</v>
      </c>
      <c r="K145" t="s" s="1">
        <v>349</v>
      </c>
      <c r="L145" t="s" s="1">
        <v>146</v>
      </c>
      <c r="M145" t="n" s="7">
        <v>1144688.16</v>
      </c>
      <c r="N145" t="n" s="6">
        <v>45369.0</v>
      </c>
      <c r="O145" t="n" s="6">
        <v>45657.0</v>
      </c>
      <c r="P145" t="s" s="1">
        <v>2036</v>
      </c>
    </row>
    <row r="146" spans="1:16">
      <c r="A146" t="n" s="4">
        <v>142</v>
      </c>
      <c r="B146" s="2">
        <f>HYPERLINK("https://my.zakupivli.pro/remote/dispatcher/state_purchase_view/48622096", "UA-2024-01-24-003086-a")</f>
        <v/>
      </c>
      <c r="C146" s="2">
        <f>HYPERLINK("https://my.zakupivli.pro/remote/dispatcher/state_purchase_lot_view/1186475", "UA-2024-01-24-003086-a-L1186475")</f>
        <v/>
      </c>
      <c r="D146" s="2">
        <f>HYPERLINK("https://my.zakupivli.pro/remote/dispatcher/state_contracting_view/19304675", "UA-2024-01-24-003086-a-a1")</f>
        <v/>
      </c>
      <c r="E146" t="s" s="1">
        <v>1491</v>
      </c>
      <c r="F146" t="s" s="1">
        <v>990</v>
      </c>
      <c r="G146" t="s" s="1">
        <v>1685</v>
      </c>
      <c r="H146" t="s" s="1">
        <v>992</v>
      </c>
      <c r="I146" t="s" s="1">
        <v>1697</v>
      </c>
      <c r="J146" t="s" s="1">
        <v>1887</v>
      </c>
      <c r="K146" t="s" s="1">
        <v>304</v>
      </c>
      <c r="L146" t="s" s="1">
        <v>82</v>
      </c>
      <c r="M146" t="n" s="7">
        <v>414660.0</v>
      </c>
      <c r="N146" t="n" s="6">
        <v>45342.0</v>
      </c>
      <c r="O146" t="n" s="6">
        <v>45657.0</v>
      </c>
      <c r="P146" t="s" s="1">
        <v>2036</v>
      </c>
    </row>
    <row r="147" spans="1:16">
      <c r="A147" t="n" s="4">
        <v>143</v>
      </c>
      <c r="B147" s="2">
        <f>HYPERLINK("https://my.zakupivli.pro/remote/dispatcher/state_purchase_view/50337158", "UA-2024-04-10-007458-a")</f>
        <v/>
      </c>
      <c r="C147" s="2">
        <f>HYPERLINK("https://my.zakupivli.pro/remote/dispatcher/state_purchase_lot_view/1254749", "UA-2024-04-10-007458-a-L1254749")</f>
        <v/>
      </c>
      <c r="D147" s="2">
        <f>HYPERLINK("https://my.zakupivli.pro/remote/dispatcher/state_contracting_view/19895006", "UA-2024-04-10-007458-a-b1")</f>
        <v/>
      </c>
      <c r="E147" t="s" s="1">
        <v>801</v>
      </c>
      <c r="F147" t="s" s="1">
        <v>475</v>
      </c>
      <c r="G147" t="s" s="1">
        <v>1758</v>
      </c>
      <c r="H147" t="s" s="1">
        <v>476</v>
      </c>
      <c r="I147" t="s" s="1">
        <v>1697</v>
      </c>
      <c r="J147" t="s" s="1">
        <v>1886</v>
      </c>
      <c r="K147" t="s" s="1">
        <v>659</v>
      </c>
      <c r="L147" t="s" s="1">
        <v>340</v>
      </c>
      <c r="M147" t="n" s="7">
        <v>263065.2</v>
      </c>
      <c r="N147" t="n" s="6">
        <v>45418.0</v>
      </c>
      <c r="O147" t="n" s="6">
        <v>45657.0</v>
      </c>
      <c r="P147" t="s" s="1">
        <v>2036</v>
      </c>
    </row>
    <row r="148" spans="1:16">
      <c r="A148" t="n" s="4">
        <v>144</v>
      </c>
      <c r="B148" s="2">
        <f>HYPERLINK("https://my.zakupivli.pro/remote/dispatcher/state_purchase_view/52165531", "UA-2024-07-15-007541-a")</f>
        <v/>
      </c>
      <c r="C148" s="2">
        <f>HYPERLINK("https://my.zakupivli.pro/remote/dispatcher/state_purchase_lot_view/1336365", "UA-2024-07-15-007541-a-L1336365")</f>
        <v/>
      </c>
      <c r="D148" s="2">
        <f>HYPERLINK("https://my.zakupivli.pro/remote/dispatcher/state_contracting_view/21033851", "UA-2024-07-15-007541-a-a1")</f>
        <v/>
      </c>
      <c r="E148" t="s" s="1">
        <v>1374</v>
      </c>
      <c r="F148" t="s" s="1">
        <v>1428</v>
      </c>
      <c r="G148" t="s" s="1">
        <v>1842</v>
      </c>
      <c r="H148" t="s" s="1">
        <v>1427</v>
      </c>
      <c r="I148" t="s" s="1">
        <v>1697</v>
      </c>
      <c r="J148" t="s" s="1">
        <v>1884</v>
      </c>
      <c r="K148" t="s" s="1">
        <v>922</v>
      </c>
      <c r="L148" t="s" s="1">
        <v>682</v>
      </c>
      <c r="M148" t="n" s="7">
        <v>130000.0</v>
      </c>
      <c r="N148" t="n" s="6">
        <v>45505.0</v>
      </c>
      <c r="O148" t="n" s="6">
        <v>45657.0</v>
      </c>
      <c r="P148" t="s" s="1">
        <v>2036</v>
      </c>
    </row>
    <row r="149" spans="1:16">
      <c r="A149" t="n" s="4">
        <v>145</v>
      </c>
      <c r="B149" s="2">
        <f>HYPERLINK("https://my.zakupivli.pro/remote/dispatcher/state_purchase_view/53844677", "UA-2024-10-08-007489-a")</f>
        <v/>
      </c>
      <c r="C149" t="s" s="2">
        <v>1795</v>
      </c>
      <c r="D149" s="2">
        <f>HYPERLINK("https://my.zakupivli.pro/remote/dispatcher/state_contracting_view/21685570", "UA-2024-10-08-007489-a-c1")</f>
        <v/>
      </c>
      <c r="E149" t="s" s="1">
        <v>230</v>
      </c>
      <c r="F149" t="s" s="1">
        <v>605</v>
      </c>
      <c r="G149" t="s" s="1">
        <v>1865</v>
      </c>
      <c r="H149" t="s" s="1">
        <v>607</v>
      </c>
      <c r="I149" t="s" s="1">
        <v>1729</v>
      </c>
      <c r="J149" t="s" s="1">
        <v>1702</v>
      </c>
      <c r="K149" t="s" s="1">
        <v>578</v>
      </c>
      <c r="L149" t="s" s="1">
        <v>1120</v>
      </c>
      <c r="M149" t="n" s="4">
        <v>283850</v>
      </c>
      <c r="N149" t="n" s="6">
        <v>45573.0</v>
      </c>
      <c r="O149" t="n" s="6">
        <v>45657.0</v>
      </c>
      <c r="P149" t="s" s="1">
        <v>2036</v>
      </c>
    </row>
    <row r="150" spans="1:16">
      <c r="A150" t="n" s="4">
        <v>146</v>
      </c>
      <c r="B150" s="2">
        <f>HYPERLINK("https://my.zakupivli.pro/remote/dispatcher/state_purchase_view/55289200", "UA-2024-12-02-002923-a")</f>
        <v/>
      </c>
      <c r="C150" t="s" s="2">
        <v>1795</v>
      </c>
      <c r="D150" s="2">
        <f>HYPERLINK("https://my.zakupivli.pro/remote/dispatcher/state_contracting_view/22308318", "UA-2024-12-02-002923-a-b1")</f>
        <v/>
      </c>
      <c r="E150" t="s" s="1">
        <v>1166</v>
      </c>
      <c r="F150" t="s" s="1">
        <v>849</v>
      </c>
      <c r="G150" t="s" s="1">
        <v>1684</v>
      </c>
      <c r="H150" t="s" s="1">
        <v>851</v>
      </c>
      <c r="I150" t="s" s="1">
        <v>1729</v>
      </c>
      <c r="J150" t="s" s="1">
        <v>1661</v>
      </c>
      <c r="K150" t="s" s="1">
        <v>351</v>
      </c>
      <c r="L150" t="s" s="1">
        <v>1191</v>
      </c>
      <c r="M150" t="n" s="4">
        <v>101000</v>
      </c>
      <c r="N150" t="n" s="6">
        <v>45625.0</v>
      </c>
      <c r="O150" t="n" s="6">
        <v>45657.0</v>
      </c>
      <c r="P150" t="s" s="1">
        <v>2036</v>
      </c>
    </row>
    <row r="151" spans="1:16">
      <c r="A151" t="n" s="4">
        <v>147</v>
      </c>
      <c r="B151" s="2">
        <f>HYPERLINK("https://my.zakupivli.pro/remote/dispatcher/state_purchase_view/54855562", "UA-2024-11-15-011861-a")</f>
        <v/>
      </c>
      <c r="C151" t="s" s="2">
        <v>1795</v>
      </c>
      <c r="D151" s="2">
        <f>HYPERLINK("https://my.zakupivli.pro/remote/dispatcher/state_contracting_view/22121151", "UA-2024-11-15-011861-a-c1")</f>
        <v/>
      </c>
      <c r="E151" t="s" s="1">
        <v>1541</v>
      </c>
      <c r="F151" t="s" s="1">
        <v>854</v>
      </c>
      <c r="G151" t="s" s="1">
        <v>2039</v>
      </c>
      <c r="H151" t="s" s="1">
        <v>857</v>
      </c>
      <c r="I151" t="s" s="1">
        <v>1729</v>
      </c>
      <c r="J151" t="s" s="1">
        <v>1939</v>
      </c>
      <c r="K151" t="s" s="1">
        <v>652</v>
      </c>
      <c r="L151" t="s" s="1">
        <v>1157</v>
      </c>
      <c r="M151" t="n" s="7">
        <v>35543.96</v>
      </c>
      <c r="N151" t="n" s="6">
        <v>45611.0</v>
      </c>
      <c r="O151" t="n" s="6">
        <v>45657.0</v>
      </c>
      <c r="P151" t="s" s="1">
        <v>2009</v>
      </c>
    </row>
    <row r="152" spans="1:16">
      <c r="A152" t="n" s="4">
        <v>148</v>
      </c>
      <c r="B152" s="2">
        <f>HYPERLINK("https://my.zakupivli.pro/remote/dispatcher/state_purchase_view/55707100", "UA-2024-12-12-018359-a")</f>
        <v/>
      </c>
      <c r="C152" t="s" s="2">
        <v>1795</v>
      </c>
      <c r="D152" s="2">
        <f>HYPERLINK("https://my.zakupivli.pro/remote/dispatcher/state_contracting_view/22487155", "UA-2024-12-12-018359-a-a1")</f>
        <v/>
      </c>
      <c r="E152" t="s" s="1">
        <v>1244</v>
      </c>
      <c r="F152" t="s" s="1">
        <v>422</v>
      </c>
      <c r="G152" t="s" s="1">
        <v>1724</v>
      </c>
      <c r="H152" t="s" s="1">
        <v>419</v>
      </c>
      <c r="I152" t="s" s="1">
        <v>1729</v>
      </c>
      <c r="J152" t="s" s="1">
        <v>1953</v>
      </c>
      <c r="K152" t="s" s="1">
        <v>103</v>
      </c>
      <c r="L152" t="s" s="1">
        <v>88</v>
      </c>
      <c r="M152" t="n" s="4">
        <v>9700</v>
      </c>
      <c r="N152" t="n" s="6">
        <v>45638.0</v>
      </c>
      <c r="O152" t="n" s="6">
        <v>45657.0</v>
      </c>
      <c r="P152" t="s" s="1">
        <v>2009</v>
      </c>
    </row>
    <row r="153" spans="1:16">
      <c r="A153" t="n" s="4">
        <v>149</v>
      </c>
      <c r="B153" s="2">
        <f>HYPERLINK("https://my.zakupivli.pro/remote/dispatcher/state_purchase_view/52008066", "UA-2024-07-05-001719-a")</f>
        <v/>
      </c>
      <c r="C153" s="2">
        <f>HYPERLINK("https://my.zakupivli.pro/remote/dispatcher/state_purchase_lot_view/1329432", "UA-2024-07-05-001719-a-L1329432")</f>
        <v/>
      </c>
      <c r="D153" s="2">
        <f>HYPERLINK("https://my.zakupivli.pro/remote/dispatcher/state_contracting_view/20990664", "UA-2024-07-05-001719-a-c1")</f>
        <v/>
      </c>
      <c r="E153" t="s" s="1">
        <v>1537</v>
      </c>
      <c r="F153" t="s" s="1">
        <v>845</v>
      </c>
      <c r="G153" t="s" s="1">
        <v>1757</v>
      </c>
      <c r="H153" t="s" s="1">
        <v>846</v>
      </c>
      <c r="I153" t="s" s="1">
        <v>1697</v>
      </c>
      <c r="J153" t="s" s="1">
        <v>1976</v>
      </c>
      <c r="K153" t="s" s="1">
        <v>351</v>
      </c>
      <c r="L153" t="s" s="1">
        <v>670</v>
      </c>
      <c r="M153" t="n" s="7">
        <v>143450.0</v>
      </c>
      <c r="N153" t="n" s="6">
        <v>45499.0</v>
      </c>
      <c r="O153" t="n" s="6">
        <v>45657.0</v>
      </c>
      <c r="P153" t="s" s="1">
        <v>2036</v>
      </c>
    </row>
    <row r="154" spans="1:16">
      <c r="A154" t="n" s="4">
        <v>150</v>
      </c>
      <c r="B154" s="2">
        <f>HYPERLINK("https://my.zakupivli.pro/remote/dispatcher/state_purchase_view/54808314", "UA-2024-11-14-008676-a")</f>
        <v/>
      </c>
      <c r="C154" t="s" s="2">
        <v>1795</v>
      </c>
      <c r="D154" s="2">
        <f>HYPERLINK("https://my.zakupivli.pro/remote/dispatcher/state_contracting_view/22101119", "UA-2024-11-14-008676-a-c1")</f>
        <v/>
      </c>
      <c r="E154" t="s" s="1">
        <v>663</v>
      </c>
      <c r="F154" t="s" s="1">
        <v>1337</v>
      </c>
      <c r="G154" t="s" s="1">
        <v>2026</v>
      </c>
      <c r="H154" t="s" s="1">
        <v>1343</v>
      </c>
      <c r="I154" t="s" s="1">
        <v>1729</v>
      </c>
      <c r="J154" t="s" s="1">
        <v>1711</v>
      </c>
      <c r="K154" t="s" s="1">
        <v>33</v>
      </c>
      <c r="L154" t="s" s="1">
        <v>1406</v>
      </c>
      <c r="M154" t="n" s="7">
        <v>2217.24</v>
      </c>
      <c r="N154" t="n" s="6">
        <v>45609.0</v>
      </c>
      <c r="O154" t="n" s="6">
        <v>45657.0</v>
      </c>
      <c r="P154" t="s" s="1">
        <v>2009</v>
      </c>
    </row>
    <row r="155" spans="1:16">
      <c r="A155" t="n" s="4">
        <v>151</v>
      </c>
      <c r="B155" s="2">
        <f>HYPERLINK("https://my.zakupivli.pro/remote/dispatcher/state_purchase_view/55225437", "UA-2024-11-28-008614-a")</f>
        <v/>
      </c>
      <c r="C155" t="s" s="2">
        <v>1795</v>
      </c>
      <c r="D155" s="2">
        <f>HYPERLINK("https://my.zakupivli.pro/remote/dispatcher/state_contracting_view/22280690", "UA-2024-11-28-008614-a-a1")</f>
        <v/>
      </c>
      <c r="E155" t="s" s="1">
        <v>1614</v>
      </c>
      <c r="F155" t="s" s="1">
        <v>923</v>
      </c>
      <c r="G155" t="s" s="1">
        <v>2031</v>
      </c>
      <c r="H155" t="s" s="1">
        <v>925</v>
      </c>
      <c r="I155" t="s" s="1">
        <v>1729</v>
      </c>
      <c r="J155" t="s" s="1">
        <v>1911</v>
      </c>
      <c r="K155" t="s" s="1">
        <v>723</v>
      </c>
      <c r="L155" t="s" s="1">
        <v>1183</v>
      </c>
      <c r="M155" t="n" s="4">
        <v>4596</v>
      </c>
      <c r="N155" t="n" s="6">
        <v>45623.0</v>
      </c>
      <c r="O155" t="n" s="6">
        <v>45657.0</v>
      </c>
      <c r="P155" t="s" s="1">
        <v>2009</v>
      </c>
    </row>
    <row r="156" spans="1:16">
      <c r="A156" t="n" s="4">
        <v>152</v>
      </c>
      <c r="B156" s="2">
        <f>HYPERLINK("https://my.zakupivli.pro/remote/dispatcher/state_purchase_view/53327760", "UA-2024-09-16-003351-a")</f>
        <v/>
      </c>
      <c r="C156" t="s" s="2">
        <v>1795</v>
      </c>
      <c r="D156" s="2">
        <f>HYPERLINK("https://my.zakupivli.pro/remote/dispatcher/state_contracting_view/21465073", "UA-2024-09-16-003351-a-c1")</f>
        <v/>
      </c>
      <c r="E156" t="s" s="1">
        <v>352</v>
      </c>
      <c r="F156" t="s" s="1">
        <v>1309</v>
      </c>
      <c r="G156" t="s" s="1">
        <v>2073</v>
      </c>
      <c r="H156" t="s" s="1">
        <v>1311</v>
      </c>
      <c r="I156" t="s" s="1">
        <v>1729</v>
      </c>
      <c r="J156" t="s" s="1">
        <v>1802</v>
      </c>
      <c r="K156" t="s" s="1">
        <v>920</v>
      </c>
      <c r="L156" t="s" s="1">
        <v>1059</v>
      </c>
      <c r="M156" t="n" s="4">
        <v>27000</v>
      </c>
      <c r="N156" t="n" s="6">
        <v>45551.0</v>
      </c>
      <c r="O156" t="n" s="6">
        <v>45657.0</v>
      </c>
      <c r="P156" t="s" s="1">
        <v>2009</v>
      </c>
    </row>
    <row r="157" spans="1:16">
      <c r="A157" t="n" s="4">
        <v>153</v>
      </c>
      <c r="B157" s="2">
        <f>HYPERLINK("https://my.zakupivli.pro/remote/dispatcher/state_purchase_view/55337318", "UA-2024-12-03-005378-a")</f>
        <v/>
      </c>
      <c r="C157" t="s" s="2">
        <v>1795</v>
      </c>
      <c r="D157" s="2">
        <f>HYPERLINK("https://my.zakupivli.pro/remote/dispatcher/state_contracting_view/22328256", "UA-2024-12-03-005378-a-c1")</f>
        <v/>
      </c>
      <c r="E157" t="s" s="1">
        <v>1631</v>
      </c>
      <c r="F157" t="s" s="1">
        <v>568</v>
      </c>
      <c r="G157" t="s" s="1">
        <v>570</v>
      </c>
      <c r="H157" t="s" s="1">
        <v>569</v>
      </c>
      <c r="I157" t="s" s="1">
        <v>1729</v>
      </c>
      <c r="J157" t="s" s="1">
        <v>1815</v>
      </c>
      <c r="K157" t="s" s="1">
        <v>648</v>
      </c>
      <c r="L157" t="s" s="1">
        <v>1198</v>
      </c>
      <c r="M157" t="n" s="4">
        <v>32742</v>
      </c>
      <c r="N157" t="n" s="6">
        <v>45629.0</v>
      </c>
      <c r="O157" t="n" s="6">
        <v>45657.0</v>
      </c>
      <c r="P157" t="s" s="1">
        <v>2009</v>
      </c>
    </row>
    <row r="158" spans="1:16">
      <c r="A158" t="n" s="4">
        <v>154</v>
      </c>
      <c r="B158" s="2">
        <f>HYPERLINK("https://my.zakupivli.pro/remote/dispatcher/state_purchase_view/53295499", "UA-2024-09-13-002881-a")</f>
        <v/>
      </c>
      <c r="C158" s="2">
        <f>HYPERLINK("https://my.zakupivli.pro/remote/dispatcher/state_purchase_lot_view/1389604", "UA-2024-09-13-002881-a-L1389604")</f>
        <v/>
      </c>
      <c r="D158" s="2">
        <f>HYPERLINK("https://my.zakupivli.pro/remote/dispatcher/state_contracting_view/21586862", "UA-2024-09-13-002881-a-c1")</f>
        <v/>
      </c>
      <c r="E158" t="s" s="1">
        <v>1624</v>
      </c>
      <c r="F158" t="s" s="1">
        <v>962</v>
      </c>
      <c r="G158" t="s" s="1">
        <v>1747</v>
      </c>
      <c r="H158" t="s" s="1">
        <v>964</v>
      </c>
      <c r="I158" t="s" s="1">
        <v>1697</v>
      </c>
      <c r="J158" t="s" s="1">
        <v>1954</v>
      </c>
      <c r="K158" t="s" s="1">
        <v>102</v>
      </c>
      <c r="L158" t="s" s="1">
        <v>1116</v>
      </c>
      <c r="M158" t="n" s="7">
        <v>546600.0</v>
      </c>
      <c r="N158" t="n" s="6">
        <v>45572.0</v>
      </c>
      <c r="O158" t="n" s="6">
        <v>45657.0</v>
      </c>
      <c r="P158" t="s" s="1">
        <v>2036</v>
      </c>
    </row>
    <row r="159" spans="1:16">
      <c r="A159" t="n" s="4">
        <v>155</v>
      </c>
      <c r="B159" s="2">
        <f>HYPERLINK("https://my.zakupivli.pro/remote/dispatcher/state_purchase_view/55081166", "UA-2024-11-25-002496-a")</f>
        <v/>
      </c>
      <c r="C159" s="2">
        <f>HYPERLINK("https://my.zakupivli.pro/remote/dispatcher/state_purchase_lot_view/1469905", "UA-2024-11-25-002496-a-L1469905")</f>
        <v/>
      </c>
      <c r="D159" s="2">
        <f>HYPERLINK("https://my.zakupivli.pro/remote/dispatcher/state_contracting_view/22374052", "UA-2024-11-25-002496-a-b1")</f>
        <v/>
      </c>
      <c r="E159" t="s" s="1">
        <v>32</v>
      </c>
      <c r="F159" t="s" s="1">
        <v>963</v>
      </c>
      <c r="G159" t="s" s="1">
        <v>1716</v>
      </c>
      <c r="H159" t="s" s="1">
        <v>961</v>
      </c>
      <c r="I159" t="s" s="1">
        <v>1697</v>
      </c>
      <c r="J159" t="s" s="1">
        <v>1994</v>
      </c>
      <c r="K159" t="s" s="1">
        <v>381</v>
      </c>
      <c r="L159" t="s" s="1">
        <v>1206</v>
      </c>
      <c r="M159" t="n" s="7">
        <v>125240.0</v>
      </c>
      <c r="N159" t="n" s="6">
        <v>45638.0</v>
      </c>
      <c r="O159" t="n" s="6">
        <v>45657.0</v>
      </c>
      <c r="P159" t="s" s="1">
        <v>2036</v>
      </c>
    </row>
    <row r="160" spans="1:16">
      <c r="A160" t="n" s="4">
        <v>156</v>
      </c>
      <c r="B160" s="2">
        <f>HYPERLINK("https://my.zakupivli.pro/remote/dispatcher/state_purchase_view/51581539", "UA-2024-06-12-006411-a")</f>
        <v/>
      </c>
      <c r="C160" s="2">
        <f>HYPERLINK("https://my.zakupivli.pro/remote/dispatcher/state_purchase_lot_view/1309210", "UA-2024-06-12-006411-a-L1309210")</f>
        <v/>
      </c>
      <c r="D160" s="2">
        <f>HYPERLINK("https://my.zakupivli.pro/remote/dispatcher/state_contracting_view/20794110", "UA-2024-06-12-006411-a-c1")</f>
        <v/>
      </c>
      <c r="E160" t="s" s="1">
        <v>386</v>
      </c>
      <c r="F160" t="s" s="1">
        <v>500</v>
      </c>
      <c r="G160" t="s" s="1">
        <v>1762</v>
      </c>
      <c r="H160" t="s" s="1">
        <v>501</v>
      </c>
      <c r="I160" t="s" s="1">
        <v>1697</v>
      </c>
      <c r="J160" t="s" s="1">
        <v>1980</v>
      </c>
      <c r="K160" t="s" s="1">
        <v>349</v>
      </c>
      <c r="L160" t="s" s="1">
        <v>577</v>
      </c>
      <c r="M160" t="n" s="7">
        <v>94850.0</v>
      </c>
      <c r="N160" t="n" s="6">
        <v>45474.0</v>
      </c>
      <c r="O160" t="n" s="6">
        <v>45657.0</v>
      </c>
      <c r="P160" t="s" s="1">
        <v>2036</v>
      </c>
    </row>
    <row r="161" spans="1:16">
      <c r="A161" t="n" s="4">
        <v>157</v>
      </c>
      <c r="B161" s="2">
        <f>HYPERLINK("https://my.zakupivli.pro/remote/dispatcher/state_purchase_view/48390194", "UA-2024-01-16-009155-a")</f>
        <v/>
      </c>
      <c r="C161" t="s" s="2">
        <v>1795</v>
      </c>
      <c r="D161" s="2">
        <f>HYPERLINK("https://my.zakupivli.pro/remote/dispatcher/state_contracting_view/18918801", "UA-2024-01-16-009155-a-c1")</f>
        <v/>
      </c>
      <c r="E161" t="s" s="1">
        <v>1492</v>
      </c>
      <c r="F161" t="s" s="1">
        <v>1220</v>
      </c>
      <c r="G161" t="s" s="1">
        <v>11</v>
      </c>
      <c r="H161" t="s" s="1">
        <v>1223</v>
      </c>
      <c r="I161" t="s" s="1">
        <v>1729</v>
      </c>
      <c r="J161" t="s" s="1">
        <v>1923</v>
      </c>
      <c r="K161" t="s" s="1">
        <v>288</v>
      </c>
      <c r="L161" t="s" s="1">
        <v>248</v>
      </c>
      <c r="M161" t="n" s="7">
        <v>44640.0</v>
      </c>
      <c r="N161" t="n" s="6">
        <v>45306.0</v>
      </c>
      <c r="O161" t="n" s="6">
        <v>45657.0</v>
      </c>
      <c r="P161" t="s" s="1">
        <v>2036</v>
      </c>
    </row>
    <row r="162" spans="1:16">
      <c r="A162" t="n" s="4">
        <v>158</v>
      </c>
      <c r="B162" s="2">
        <f>HYPERLINK("https://my.zakupivli.pro/remote/dispatcher/state_purchase_view/50124883", "UA-2024-04-01-002240-a")</f>
        <v/>
      </c>
      <c r="C162" t="s" s="2">
        <v>1795</v>
      </c>
      <c r="D162" s="2">
        <f>HYPERLINK("https://my.zakupivli.pro/remote/dispatcher/state_contracting_view/19662428", "UA-2024-04-01-002240-a-c1")</f>
        <v/>
      </c>
      <c r="E162" t="s" s="1">
        <v>1580</v>
      </c>
      <c r="F162" t="s" s="1">
        <v>1387</v>
      </c>
      <c r="G162" t="s" s="1">
        <v>2056</v>
      </c>
      <c r="H162" t="s" s="1">
        <v>1388</v>
      </c>
      <c r="I162" t="s" s="1">
        <v>1729</v>
      </c>
      <c r="J162" t="s" s="1">
        <v>1977</v>
      </c>
      <c r="K162" t="s" s="1">
        <v>198</v>
      </c>
      <c r="L162" t="s" s="1">
        <v>174</v>
      </c>
      <c r="M162" t="n" s="7">
        <v>8000.0</v>
      </c>
      <c r="N162" t="n" s="6">
        <v>45380.0</v>
      </c>
      <c r="O162" t="n" s="6">
        <v>45657.0</v>
      </c>
      <c r="P162" t="s" s="1">
        <v>2009</v>
      </c>
    </row>
    <row r="163" spans="1:16">
      <c r="A163" t="n" s="4">
        <v>159</v>
      </c>
      <c r="B163" s="2">
        <f>HYPERLINK("https://my.zakupivli.pro/remote/dispatcher/state_purchase_view/49904581", "UA-2024-03-20-002122-a")</f>
        <v/>
      </c>
      <c r="C163" s="2">
        <f>HYPERLINK("https://my.zakupivli.pro/remote/dispatcher/state_purchase_lot_view/1236468", "UA-2024-03-20-002122-a-L1236468")</f>
        <v/>
      </c>
      <c r="D163" s="2">
        <f>HYPERLINK("https://my.zakupivli.pro/remote/dispatcher/state_contracting_view/19848660", "UA-2024-03-20-002122-a-a1")</f>
        <v/>
      </c>
      <c r="E163" t="s" s="1">
        <v>1585</v>
      </c>
      <c r="F163" t="s" s="1">
        <v>483</v>
      </c>
      <c r="G163" t="s" s="1">
        <v>1675</v>
      </c>
      <c r="H163" t="s" s="1">
        <v>484</v>
      </c>
      <c r="I163" t="s" s="1">
        <v>1697</v>
      </c>
      <c r="J163" t="s" s="1">
        <v>1980</v>
      </c>
      <c r="K163" t="s" s="1">
        <v>349</v>
      </c>
      <c r="L163" t="s" s="1">
        <v>314</v>
      </c>
      <c r="M163" t="n" s="7">
        <v>1500370.0</v>
      </c>
      <c r="N163" t="n" s="6">
        <v>45401.0</v>
      </c>
      <c r="O163" t="n" s="6">
        <v>45657.0</v>
      </c>
      <c r="P163" t="s" s="1">
        <v>2036</v>
      </c>
    </row>
    <row r="164" spans="1:16">
      <c r="A164" t="n" s="4">
        <v>160</v>
      </c>
      <c r="B164" s="2">
        <f>HYPERLINK("https://my.zakupivli.pro/remote/dispatcher/state_purchase_view/48179877", "UA-2024-01-04-003546-a")</f>
        <v/>
      </c>
      <c r="C164" t="s" s="2">
        <v>1795</v>
      </c>
      <c r="D164" s="2">
        <f>HYPERLINK("https://my.zakupivli.pro/remote/dispatcher/state_contracting_view/18834869", "UA-2024-01-04-003546-a-b1")</f>
        <v/>
      </c>
      <c r="E164" t="s" s="1">
        <v>1612</v>
      </c>
      <c r="F164" t="s" s="1">
        <v>1096</v>
      </c>
      <c r="G164" t="s" s="1">
        <v>1096</v>
      </c>
      <c r="H164" t="s" s="1">
        <v>1095</v>
      </c>
      <c r="I164" t="s" s="1">
        <v>1729</v>
      </c>
      <c r="J164" t="s" s="1">
        <v>1732</v>
      </c>
      <c r="K164" t="s" s="1">
        <v>205</v>
      </c>
      <c r="L164" t="s" s="1">
        <v>804</v>
      </c>
      <c r="M164" t="n" s="7">
        <v>3960.0</v>
      </c>
      <c r="N164" t="n" s="6">
        <v>45294.0</v>
      </c>
      <c r="O164" t="n" s="6">
        <v>45657.0</v>
      </c>
      <c r="P164" t="s" s="1">
        <v>2009</v>
      </c>
    </row>
    <row r="165" spans="1:16">
      <c r="A165" t="n" s="4">
        <v>161</v>
      </c>
      <c r="B165" s="2">
        <f>HYPERLINK("https://my.zakupivli.pro/remote/dispatcher/state_purchase_view/48248191", "UA-2024-01-10-001053-a")</f>
        <v/>
      </c>
      <c r="C165" t="s" s="2">
        <v>1795</v>
      </c>
      <c r="D165" s="2">
        <f>HYPERLINK("https://my.zakupivli.pro/remote/dispatcher/state_contracting_view/18862958", "UA-2024-01-10-001053-a-c1")</f>
        <v/>
      </c>
      <c r="E165" t="s" s="1">
        <v>1117</v>
      </c>
      <c r="F165" t="s" s="1">
        <v>955</v>
      </c>
      <c r="G165" t="s" s="1">
        <v>955</v>
      </c>
      <c r="H165" t="s" s="1">
        <v>954</v>
      </c>
      <c r="I165" t="s" s="1">
        <v>1729</v>
      </c>
      <c r="J165" t="s" s="1">
        <v>2004</v>
      </c>
      <c r="K165" t="s" s="1">
        <v>552</v>
      </c>
      <c r="L165" t="s" s="1">
        <v>93</v>
      </c>
      <c r="M165" t="n" s="7">
        <v>36584.0</v>
      </c>
      <c r="N165" t="n" s="6">
        <v>45300.0</v>
      </c>
      <c r="O165" t="n" s="6">
        <v>45657.0</v>
      </c>
      <c r="P165" t="s" s="1">
        <v>2009</v>
      </c>
    </row>
    <row r="166" spans="1:16">
      <c r="A166" t="n" s="4">
        <v>162</v>
      </c>
      <c r="B166" s="2">
        <f>HYPERLINK("https://my.zakupivli.pro/remote/dispatcher/state_purchase_view/48418546", "UA-2024-01-17-004164-a")</f>
        <v/>
      </c>
      <c r="C166" t="s" s="2">
        <v>1795</v>
      </c>
      <c r="D166" s="2">
        <f>HYPERLINK("https://my.zakupivli.pro/remote/dispatcher/state_contracting_view/18930349", "UA-2024-01-17-004164-a-a1")</f>
        <v/>
      </c>
      <c r="E166" t="s" s="1">
        <v>1590</v>
      </c>
      <c r="F166" t="s" s="1">
        <v>843</v>
      </c>
      <c r="G166" t="s" s="1">
        <v>843</v>
      </c>
      <c r="H166" t="s" s="1">
        <v>842</v>
      </c>
      <c r="I166" t="s" s="1">
        <v>1729</v>
      </c>
      <c r="J166" t="s" s="1">
        <v>1956</v>
      </c>
      <c r="K166" t="s" s="1">
        <v>835</v>
      </c>
      <c r="L166" t="s" s="1">
        <v>678</v>
      </c>
      <c r="M166" t="n" s="7">
        <v>12200.0</v>
      </c>
      <c r="N166" t="n" s="6">
        <v>45307.0</v>
      </c>
      <c r="O166" t="n" s="6">
        <v>45657.0</v>
      </c>
      <c r="P166" t="s" s="1">
        <v>2009</v>
      </c>
    </row>
    <row r="167" spans="1:16">
      <c r="A167" t="n" s="4">
        <v>163</v>
      </c>
      <c r="B167" s="2">
        <f>HYPERLINK("https://my.zakupivli.pro/remote/dispatcher/state_purchase_view/48262776", "UA-2024-01-10-006897-a")</f>
        <v/>
      </c>
      <c r="C167" t="s" s="2">
        <v>1795</v>
      </c>
      <c r="D167" s="2">
        <f>HYPERLINK("https://my.zakupivli.pro/remote/dispatcher/state_contracting_view/18868431", "UA-2024-01-10-006897-a-c1")</f>
        <v/>
      </c>
      <c r="E167" t="s" s="1">
        <v>1058</v>
      </c>
      <c r="F167" t="s" s="1">
        <v>507</v>
      </c>
      <c r="G167" t="s" s="1">
        <v>1874</v>
      </c>
      <c r="H167" t="s" s="1">
        <v>505</v>
      </c>
      <c r="I167" t="s" s="1">
        <v>1729</v>
      </c>
      <c r="J167" t="s" s="1">
        <v>1941</v>
      </c>
      <c r="K167" t="s" s="1">
        <v>317</v>
      </c>
      <c r="L167" t="s" s="1">
        <v>149</v>
      </c>
      <c r="M167" t="n" s="7">
        <v>49719.4</v>
      </c>
      <c r="N167" t="n" s="6">
        <v>45300.0</v>
      </c>
      <c r="O167" t="n" s="6">
        <v>45657.0</v>
      </c>
      <c r="P167" t="s" s="1">
        <v>2009</v>
      </c>
    </row>
    <row r="168" spans="1:16">
      <c r="A168" t="n" s="4">
        <v>164</v>
      </c>
      <c r="B168" s="2">
        <f>HYPERLINK("https://my.zakupivli.pro/remote/dispatcher/state_purchase_view/50901066", "UA-2024-05-09-002439-a")</f>
        <v/>
      </c>
      <c r="C168" t="s" s="2">
        <v>1795</v>
      </c>
      <c r="D168" s="2">
        <f>HYPERLINK("https://my.zakupivli.pro/remote/dispatcher/state_contracting_view/20257148", "UA-2024-05-09-002439-a-c1")</f>
        <v/>
      </c>
      <c r="E168" t="s" s="1">
        <v>561</v>
      </c>
      <c r="F168" t="s" s="1">
        <v>177</v>
      </c>
      <c r="G168" t="s" s="1">
        <v>180</v>
      </c>
      <c r="H168" t="s" s="1">
        <v>178</v>
      </c>
      <c r="I168" t="s" s="1">
        <v>1729</v>
      </c>
      <c r="J168" t="s" s="1">
        <v>1815</v>
      </c>
      <c r="K168" t="s" s="1">
        <v>648</v>
      </c>
      <c r="L168" t="s" s="1">
        <v>350</v>
      </c>
      <c r="M168" t="n" s="7">
        <v>49824.0</v>
      </c>
      <c r="N168" t="n" s="6">
        <v>45420.0</v>
      </c>
      <c r="O168" t="n" s="6">
        <v>45657.0</v>
      </c>
      <c r="P168" t="s" s="1">
        <v>2009</v>
      </c>
    </row>
    <row r="169" spans="1:16">
      <c r="A169" t="n" s="4">
        <v>165</v>
      </c>
      <c r="B169" s="2">
        <f>HYPERLINK("https://my.zakupivli.pro/remote/dispatcher/state_purchase_view/49984831", "UA-2024-03-22-010598-a")</f>
        <v/>
      </c>
      <c r="C169" t="s" s="2">
        <v>1795</v>
      </c>
      <c r="D169" s="2">
        <f>HYPERLINK("https://my.zakupivli.pro/remote/dispatcher/state_contracting_view/19601443", "UA-2024-03-22-010598-a-a1")</f>
        <v/>
      </c>
      <c r="E169" t="s" s="1">
        <v>1653</v>
      </c>
      <c r="F169" t="s" s="1">
        <v>322</v>
      </c>
      <c r="G169" t="s" s="1">
        <v>324</v>
      </c>
      <c r="H169" t="s" s="1">
        <v>323</v>
      </c>
      <c r="I169" t="s" s="1">
        <v>1729</v>
      </c>
      <c r="J169" t="s" s="1">
        <v>1689</v>
      </c>
      <c r="K169" t="s" s="1">
        <v>349</v>
      </c>
      <c r="L169" t="s" s="1">
        <v>156</v>
      </c>
      <c r="M169" t="n" s="7">
        <v>12500.0</v>
      </c>
      <c r="N169" t="n" s="6">
        <v>45371.0</v>
      </c>
      <c r="O169" t="n" s="6">
        <v>45657.0</v>
      </c>
      <c r="P169" t="s" s="1">
        <v>2009</v>
      </c>
    </row>
    <row r="170" spans="1:16">
      <c r="A170" t="n" s="4">
        <v>166</v>
      </c>
      <c r="B170" s="2">
        <f>HYPERLINK("https://my.zakupivli.pro/remote/dispatcher/state_purchase_view/50080145", "UA-2024-03-28-002941-a")</f>
        <v/>
      </c>
      <c r="C170" t="s" s="2">
        <v>1795</v>
      </c>
      <c r="D170" s="2">
        <f>HYPERLINK("https://my.zakupivli.pro/remote/dispatcher/state_contracting_view/19643615", "UA-2024-03-28-002941-a-b1")</f>
        <v/>
      </c>
      <c r="E170" t="s" s="1">
        <v>1603</v>
      </c>
      <c r="F170" t="s" s="1">
        <v>518</v>
      </c>
      <c r="G170" t="s" s="1">
        <v>1968</v>
      </c>
      <c r="H170" t="s" s="1">
        <v>519</v>
      </c>
      <c r="I170" t="s" s="1">
        <v>1729</v>
      </c>
      <c r="J170" t="s" s="1">
        <v>2007</v>
      </c>
      <c r="K170" t="s" s="1">
        <v>373</v>
      </c>
      <c r="L170" t="s" s="1">
        <v>169</v>
      </c>
      <c r="M170" t="n" s="7">
        <v>17150.0</v>
      </c>
      <c r="N170" t="n" s="6">
        <v>45379.0</v>
      </c>
      <c r="O170" t="n" s="6">
        <v>45657.0</v>
      </c>
      <c r="P170" t="s" s="1">
        <v>2009</v>
      </c>
    </row>
    <row r="171" spans="1:16">
      <c r="A171" t="n" s="4">
        <v>167</v>
      </c>
      <c r="B171" s="2">
        <f>HYPERLINK("https://my.zakupivli.pro/remote/dispatcher/state_purchase_view/51453169", "UA-2024-06-06-000911-a")</f>
        <v/>
      </c>
      <c r="C171" t="s" s="2">
        <v>1795</v>
      </c>
      <c r="D171" s="2">
        <f>HYPERLINK("https://my.zakupivli.pro/remote/dispatcher/state_contracting_view/20653049", "UA-2024-06-06-000911-a-b1")</f>
        <v/>
      </c>
      <c r="E171" t="s" s="1">
        <v>1510</v>
      </c>
      <c r="F171" t="s" s="1">
        <v>402</v>
      </c>
      <c r="G171" t="s" s="1">
        <v>404</v>
      </c>
      <c r="H171" t="s" s="1">
        <v>403</v>
      </c>
      <c r="I171" t="s" s="1">
        <v>1729</v>
      </c>
      <c r="J171" t="s" s="1">
        <v>1825</v>
      </c>
      <c r="K171" t="s" s="1">
        <v>477</v>
      </c>
      <c r="L171" t="s" s="1">
        <v>399</v>
      </c>
      <c r="M171" t="n" s="7">
        <v>31734.0</v>
      </c>
      <c r="N171" t="n" s="6">
        <v>45448.0</v>
      </c>
      <c r="O171" t="n" s="6">
        <v>45657.0</v>
      </c>
      <c r="P171" t="s" s="1">
        <v>2009</v>
      </c>
    </row>
    <row r="172" spans="1:16">
      <c r="A172" t="n" s="4">
        <v>168</v>
      </c>
      <c r="B172" s="2">
        <f>HYPERLINK("https://my.zakupivli.pro/remote/dispatcher/state_purchase_view/51336701", "UA-2024-05-30-006548-a")</f>
        <v/>
      </c>
      <c r="C172" t="s" s="2">
        <v>1795</v>
      </c>
      <c r="D172" s="2">
        <f>HYPERLINK("https://my.zakupivli.pro/remote/dispatcher/state_contracting_view/20602706", "UA-2024-05-30-006548-a-a1")</f>
        <v/>
      </c>
      <c r="E172" t="s" s="1">
        <v>1169</v>
      </c>
      <c r="F172" t="s" s="1">
        <v>207</v>
      </c>
      <c r="G172" t="s" s="1">
        <v>1836</v>
      </c>
      <c r="H172" t="s" s="1">
        <v>206</v>
      </c>
      <c r="I172" t="s" s="1">
        <v>1729</v>
      </c>
      <c r="J172" t="s" s="1">
        <v>1742</v>
      </c>
      <c r="K172" t="s" s="1">
        <v>253</v>
      </c>
      <c r="L172" t="s" s="1">
        <v>372</v>
      </c>
      <c r="M172" t="n" s="7">
        <v>49768.0</v>
      </c>
      <c r="N172" t="n" s="6">
        <v>45441.0</v>
      </c>
      <c r="O172" t="n" s="6">
        <v>45657.0</v>
      </c>
      <c r="P172" t="s" s="1">
        <v>2009</v>
      </c>
    </row>
    <row r="173" spans="1:16">
      <c r="A173" t="n" s="4">
        <v>169</v>
      </c>
      <c r="B173" s="2">
        <f>HYPERLINK("https://my.zakupivli.pro/remote/dispatcher/state_purchase_view/51582053", "UA-2024-06-12-006674-a")</f>
        <v/>
      </c>
      <c r="C173" t="s" s="2">
        <v>1795</v>
      </c>
      <c r="D173" s="2">
        <f>HYPERLINK("https://my.zakupivli.pro/remote/dispatcher/state_contracting_view/20708797", "UA-2024-06-12-006674-a-b1")</f>
        <v/>
      </c>
      <c r="E173" t="s" s="1">
        <v>1245</v>
      </c>
      <c r="F173" t="s" s="1">
        <v>893</v>
      </c>
      <c r="G173" t="s" s="1">
        <v>894</v>
      </c>
      <c r="H173" t="s" s="1">
        <v>895</v>
      </c>
      <c r="I173" t="s" s="1">
        <v>1729</v>
      </c>
      <c r="J173" t="s" s="1">
        <v>1821</v>
      </c>
      <c r="K173" t="s" s="1">
        <v>996</v>
      </c>
      <c r="L173" t="s" s="1">
        <v>1054</v>
      </c>
      <c r="M173" t="n" s="7">
        <v>21600.0</v>
      </c>
      <c r="N173" t="n" s="6">
        <v>45455.0</v>
      </c>
      <c r="O173" t="n" s="6">
        <v>45657.0</v>
      </c>
      <c r="P173" t="s" s="1">
        <v>2009</v>
      </c>
    </row>
    <row r="174" spans="1:16">
      <c r="A174" t="n" s="4">
        <v>170</v>
      </c>
      <c r="B174" s="2">
        <f>HYPERLINK("https://my.zakupivli.pro/remote/dispatcher/state_purchase_view/51573976", "UA-2024-06-12-003014-a")</f>
        <v/>
      </c>
      <c r="C174" t="s" s="2">
        <v>1795</v>
      </c>
      <c r="D174" s="2">
        <f>HYPERLINK("https://my.zakupivli.pro/remote/dispatcher/state_contracting_view/20705257", "UA-2024-06-12-003014-a-b1")</f>
        <v/>
      </c>
      <c r="E174" t="s" s="1">
        <v>1178</v>
      </c>
      <c r="F174" t="s" s="1">
        <v>1301</v>
      </c>
      <c r="G174" t="s" s="1">
        <v>2016</v>
      </c>
      <c r="H174" t="s" s="1">
        <v>1304</v>
      </c>
      <c r="I174" t="s" s="1">
        <v>1729</v>
      </c>
      <c r="J174" t="s" s="1">
        <v>1802</v>
      </c>
      <c r="K174" t="s" s="1">
        <v>920</v>
      </c>
      <c r="L174" t="s" s="1">
        <v>434</v>
      </c>
      <c r="M174" t="n" s="4">
        <v>187250</v>
      </c>
      <c r="N174" t="n" s="6">
        <v>45454.0</v>
      </c>
      <c r="O174" t="n" s="6">
        <v>45657.0</v>
      </c>
      <c r="P174" t="s" s="1">
        <v>2009</v>
      </c>
    </row>
    <row r="175" spans="1:16">
      <c r="A175" t="n" s="4">
        <v>171</v>
      </c>
      <c r="B175" s="2">
        <f>HYPERLINK("https://my.zakupivli.pro/remote/dispatcher/state_purchase_view/51633587", "UA-2024-06-14-004025-a")</f>
        <v/>
      </c>
      <c r="C175" t="s" s="2">
        <v>1795</v>
      </c>
      <c r="D175" s="2">
        <f>HYPERLINK("https://my.zakupivli.pro/remote/dispatcher/state_contracting_view/20731178", "UA-2024-06-14-004025-a-c1")</f>
        <v/>
      </c>
      <c r="E175" t="s" s="1">
        <v>1493</v>
      </c>
      <c r="F175" t="s" s="1">
        <v>1345</v>
      </c>
      <c r="G175" t="s" s="1">
        <v>1345</v>
      </c>
      <c r="H175" t="s" s="1">
        <v>1344</v>
      </c>
      <c r="I175" t="s" s="1">
        <v>1729</v>
      </c>
      <c r="J175" t="s" s="1">
        <v>1924</v>
      </c>
      <c r="K175" t="s" s="1">
        <v>827</v>
      </c>
      <c r="L175" t="s" s="1">
        <v>503</v>
      </c>
      <c r="M175" t="n" s="4">
        <v>9000</v>
      </c>
      <c r="N175" t="n" s="6">
        <v>45456.0</v>
      </c>
      <c r="O175" t="n" s="6">
        <v>45657.0</v>
      </c>
      <c r="P175" t="s" s="1">
        <v>2009</v>
      </c>
    </row>
    <row r="176" spans="1:16">
      <c r="A176" t="n" s="4">
        <v>172</v>
      </c>
      <c r="B176" s="2">
        <f>HYPERLINK("https://my.zakupivli.pro/remote/dispatcher/state_purchase_view/51709417", "UA-2024-06-19-000369-a")</f>
        <v/>
      </c>
      <c r="C176" t="s" s="2">
        <v>1795</v>
      </c>
      <c r="D176" s="2">
        <f>HYPERLINK("https://my.zakupivli.pro/remote/dispatcher/state_contracting_view/20764065", "UA-2024-06-19-000369-a-a1")</f>
        <v/>
      </c>
      <c r="E176" t="s" s="1">
        <v>1479</v>
      </c>
      <c r="F176" t="s" s="1">
        <v>1314</v>
      </c>
      <c r="G176" t="s" s="1">
        <v>2096</v>
      </c>
      <c r="H176" t="s" s="1">
        <v>1315</v>
      </c>
      <c r="I176" t="s" s="1">
        <v>1729</v>
      </c>
      <c r="J176" t="s" s="1">
        <v>1802</v>
      </c>
      <c r="K176" t="s" s="1">
        <v>920</v>
      </c>
      <c r="L176" t="s" s="1">
        <v>530</v>
      </c>
      <c r="M176" t="n" s="4">
        <v>37500</v>
      </c>
      <c r="N176" t="n" s="6">
        <v>45461.0</v>
      </c>
      <c r="O176" t="n" s="6">
        <v>45657.0</v>
      </c>
      <c r="P176" t="s" s="1">
        <v>2009</v>
      </c>
    </row>
    <row r="177" spans="1:16">
      <c r="A177" t="n" s="4">
        <v>173</v>
      </c>
      <c r="B177" s="2">
        <f>HYPERLINK("https://my.zakupivli.pro/remote/dispatcher/state_purchase_view/51710256", "UA-2024-06-19-000751-a")</f>
        <v/>
      </c>
      <c r="C177" t="s" s="2">
        <v>1795</v>
      </c>
      <c r="D177" s="2">
        <f>HYPERLINK("https://my.zakupivli.pro/remote/dispatcher/state_contracting_view/20764455", "UA-2024-06-19-000751-a-b1")</f>
        <v/>
      </c>
      <c r="E177" t="s" s="1">
        <v>1569</v>
      </c>
      <c r="F177" t="s" s="1">
        <v>281</v>
      </c>
      <c r="G177" t="s" s="1">
        <v>1864</v>
      </c>
      <c r="H177" t="s" s="1">
        <v>279</v>
      </c>
      <c r="I177" t="s" s="1">
        <v>1729</v>
      </c>
      <c r="J177" t="s" s="1">
        <v>1952</v>
      </c>
      <c r="K177" t="s" s="1">
        <v>589</v>
      </c>
      <c r="L177" t="s" s="1">
        <v>513</v>
      </c>
      <c r="M177" t="n" s="4">
        <v>2000</v>
      </c>
      <c r="N177" t="n" s="6">
        <v>45460.0</v>
      </c>
      <c r="O177" t="n" s="6">
        <v>45657.0</v>
      </c>
      <c r="P177" t="s" s="1">
        <v>2009</v>
      </c>
    </row>
    <row r="178" spans="1:16">
      <c r="A178" t="n" s="4">
        <v>174</v>
      </c>
      <c r="B178" s="2">
        <f>HYPERLINK("https://my.zakupivli.pro/remote/dispatcher/state_purchase_view/51545852", "UA-2024-06-11-003744-a")</f>
        <v/>
      </c>
      <c r="C178" t="s" s="2">
        <v>1795</v>
      </c>
      <c r="D178" s="2">
        <f>HYPERLINK("https://my.zakupivli.pro/remote/dispatcher/state_contracting_view/20693148", "UA-2024-06-11-003744-a-c1")</f>
        <v/>
      </c>
      <c r="E178" t="s" s="1">
        <v>1396</v>
      </c>
      <c r="F178" t="s" s="1">
        <v>0</v>
      </c>
      <c r="G178" t="s" s="1">
        <v>975</v>
      </c>
      <c r="H178" t="s" s="1">
        <v>972</v>
      </c>
      <c r="I178" t="s" s="1">
        <v>1729</v>
      </c>
      <c r="J178" t="s" s="1">
        <v>1878</v>
      </c>
      <c r="K178" t="s" s="1">
        <v>979</v>
      </c>
      <c r="L178" t="s" s="1">
        <v>37</v>
      </c>
      <c r="M178" t="n" s="7">
        <v>29984.8</v>
      </c>
      <c r="N178" t="n" s="6">
        <v>45450.0</v>
      </c>
      <c r="O178" t="n" s="6">
        <v>45657.0</v>
      </c>
      <c r="P178" t="s" s="1">
        <v>2009</v>
      </c>
    </row>
    <row r="179" spans="1:16">
      <c r="A179" t="n" s="4">
        <v>175</v>
      </c>
      <c r="B179" s="2">
        <f>HYPERLINK("https://my.zakupivli.pro/remote/dispatcher/state_purchase_view/48834905", "UA-2024-01-31-012011-a")</f>
        <v/>
      </c>
      <c r="C179" t="s" s="2">
        <v>1795</v>
      </c>
      <c r="D179" s="2">
        <f>HYPERLINK("https://my.zakupivli.pro/remote/dispatcher/state_contracting_view/19107957", "UA-2024-01-31-012011-a-a1")</f>
        <v/>
      </c>
      <c r="E179" t="s" s="1">
        <v>1165</v>
      </c>
      <c r="F179" t="s" s="1">
        <v>278</v>
      </c>
      <c r="G179" t="s" s="1">
        <v>278</v>
      </c>
      <c r="H179" t="s" s="1">
        <v>275</v>
      </c>
      <c r="I179" t="s" s="1">
        <v>1729</v>
      </c>
      <c r="J179" t="s" s="1">
        <v>1937</v>
      </c>
      <c r="K179" t="s" s="1">
        <v>400</v>
      </c>
      <c r="L179" t="s" s="1">
        <v>1287</v>
      </c>
      <c r="M179" t="n" s="7">
        <v>7344.66</v>
      </c>
      <c r="N179" t="n" s="6">
        <v>45321.0</v>
      </c>
      <c r="O179" t="n" s="6">
        <v>45657.0</v>
      </c>
      <c r="P179" t="s" s="1">
        <v>2009</v>
      </c>
    </row>
    <row r="180" spans="1:16">
      <c r="A180" t="n" s="4">
        <v>176</v>
      </c>
      <c r="B180" s="2">
        <f>HYPERLINK("https://my.zakupivli.pro/remote/dispatcher/state_purchase_view/48846647", "UA-2024-02-01-002242-a")</f>
        <v/>
      </c>
      <c r="C180" t="s" s="2">
        <v>1795</v>
      </c>
      <c r="D180" s="2">
        <f>HYPERLINK("https://my.zakupivli.pro/remote/dispatcher/state_contracting_view/19113039", "UA-2024-02-01-002242-a-c1")</f>
        <v/>
      </c>
      <c r="E180" t="s" s="1">
        <v>1608</v>
      </c>
      <c r="F180" t="s" s="1">
        <v>463</v>
      </c>
      <c r="G180" t="s" s="1">
        <v>469</v>
      </c>
      <c r="H180" t="s" s="1">
        <v>468</v>
      </c>
      <c r="I180" t="s" s="1">
        <v>1729</v>
      </c>
      <c r="J180" t="s" s="1">
        <v>1944</v>
      </c>
      <c r="K180" t="s" s="1">
        <v>612</v>
      </c>
      <c r="L180" t="s" s="1">
        <v>1232</v>
      </c>
      <c r="M180" t="n" s="7">
        <v>24000.0</v>
      </c>
      <c r="N180" t="n" s="6">
        <v>45321.0</v>
      </c>
      <c r="O180" t="n" s="6">
        <v>45657.0</v>
      </c>
      <c r="P180" t="s" s="1">
        <v>2009</v>
      </c>
    </row>
    <row r="181" spans="1:16">
      <c r="A181" t="n" s="4">
        <v>177</v>
      </c>
      <c r="B181" s="2">
        <f>HYPERLINK("https://my.zakupivli.pro/remote/dispatcher/state_purchase_view/49225760", "UA-2024-02-16-003446-a")</f>
        <v/>
      </c>
      <c r="C181" t="s" s="2">
        <v>1795</v>
      </c>
      <c r="D181" s="2">
        <f>HYPERLINK("https://my.zakupivli.pro/remote/dispatcher/state_contracting_view/19275425", "UA-2024-02-16-003446-a-c1")</f>
        <v/>
      </c>
      <c r="E181" t="s" s="1">
        <v>1549</v>
      </c>
      <c r="F181" t="s" s="1">
        <v>1240</v>
      </c>
      <c r="G181" t="s" s="1">
        <v>2067</v>
      </c>
      <c r="H181" t="s" s="1">
        <v>1238</v>
      </c>
      <c r="I181" t="s" s="1">
        <v>1729</v>
      </c>
      <c r="J181" t="s" s="1">
        <v>1669</v>
      </c>
      <c r="K181" t="s" s="1">
        <v>294</v>
      </c>
      <c r="L181" t="s" s="1">
        <v>839</v>
      </c>
      <c r="M181" t="n" s="7">
        <v>30652.1</v>
      </c>
      <c r="N181" t="n" s="6">
        <v>45337.0</v>
      </c>
      <c r="O181" t="n" s="6">
        <v>45657.0</v>
      </c>
      <c r="P181" t="s" s="1">
        <v>2009</v>
      </c>
    </row>
    <row r="182" spans="1:16">
      <c r="A182" t="n" s="4">
        <v>178</v>
      </c>
      <c r="B182" s="2">
        <f>HYPERLINK("https://my.zakupivli.pro/remote/dispatcher/state_purchase_view/49230410", "UA-2024-02-16-005394-a")</f>
        <v/>
      </c>
      <c r="C182" t="s" s="2">
        <v>1795</v>
      </c>
      <c r="D182" s="2">
        <f>HYPERLINK("https://my.zakupivli.pro/remote/dispatcher/state_contracting_view/19277466", "UA-2024-02-16-005394-a-b1")</f>
        <v/>
      </c>
      <c r="E182" t="s" s="1">
        <v>1568</v>
      </c>
      <c r="F182" t="s" s="1">
        <v>453</v>
      </c>
      <c r="G182" t="s" s="1">
        <v>1804</v>
      </c>
      <c r="H182" t="s" s="1">
        <v>459</v>
      </c>
      <c r="I182" t="s" s="1">
        <v>1729</v>
      </c>
      <c r="J182" t="s" s="1">
        <v>1823</v>
      </c>
      <c r="K182" t="s" s="1">
        <v>245</v>
      </c>
      <c r="L182" t="s" s="1">
        <v>70</v>
      </c>
      <c r="M182" t="n" s="7">
        <v>9000.0</v>
      </c>
      <c r="N182" t="n" s="6">
        <v>45336.0</v>
      </c>
      <c r="O182" t="n" s="6">
        <v>45657.0</v>
      </c>
      <c r="P182" t="s" s="1">
        <v>2009</v>
      </c>
    </row>
    <row r="183" spans="1:16">
      <c r="A183" t="n" s="4">
        <v>179</v>
      </c>
      <c r="B183" s="2">
        <f>HYPERLINK("https://my.zakupivli.pro/remote/dispatcher/state_purchase_view/49231087", "UA-2024-02-16-005685-a")</f>
        <v/>
      </c>
      <c r="C183" t="s" s="2">
        <v>1795</v>
      </c>
      <c r="D183" s="2">
        <f>HYPERLINK("https://my.zakupivli.pro/remote/dispatcher/state_contracting_view/19277619", "UA-2024-02-16-005685-a-a1")</f>
        <v/>
      </c>
      <c r="E183" t="s" s="1">
        <v>1470</v>
      </c>
      <c r="F183" t="s" s="1">
        <v>971</v>
      </c>
      <c r="G183" t="s" s="1">
        <v>1679</v>
      </c>
      <c r="H183" t="s" s="1">
        <v>974</v>
      </c>
      <c r="I183" t="s" s="1">
        <v>1729</v>
      </c>
      <c r="J183" t="s" s="1">
        <v>1879</v>
      </c>
      <c r="K183" t="s" s="1">
        <v>979</v>
      </c>
      <c r="L183" t="s" s="1">
        <v>95</v>
      </c>
      <c r="M183" t="n" s="7">
        <v>4915.66</v>
      </c>
      <c r="N183" t="n" s="6">
        <v>45335.0</v>
      </c>
      <c r="O183" t="n" s="6">
        <v>45657.0</v>
      </c>
      <c r="P183" t="s" s="1">
        <v>2009</v>
      </c>
    </row>
    <row r="184" spans="1:16">
      <c r="A184" t="n" s="4">
        <v>180</v>
      </c>
      <c r="B184" s="2">
        <f>HYPERLINK("https://my.zakupivli.pro/remote/dispatcher/state_purchase_view/49229099", "UA-2024-02-16-005117-a")</f>
        <v/>
      </c>
      <c r="C184" t="s" s="2">
        <v>1795</v>
      </c>
      <c r="D184" s="2">
        <f>HYPERLINK("https://my.zakupivli.pro/remote/dispatcher/state_contracting_view/19276871", "UA-2024-02-16-005117-a-a1")</f>
        <v/>
      </c>
      <c r="E184" t="s" s="1">
        <v>1640</v>
      </c>
      <c r="F184" t="s" s="1">
        <v>543</v>
      </c>
      <c r="G184" t="s" s="1">
        <v>2012</v>
      </c>
      <c r="H184" t="s" s="1">
        <v>544</v>
      </c>
      <c r="I184" t="s" s="1">
        <v>1729</v>
      </c>
      <c r="J184" t="s" s="1">
        <v>1664</v>
      </c>
      <c r="K184" t="s" s="1">
        <v>356</v>
      </c>
      <c r="L184" t="s" s="1">
        <v>68</v>
      </c>
      <c r="M184" t="n" s="7">
        <v>17196.0</v>
      </c>
      <c r="N184" t="n" s="6">
        <v>45335.0</v>
      </c>
      <c r="O184" t="n" s="6">
        <v>45657.0</v>
      </c>
      <c r="P184" t="s" s="1">
        <v>2009</v>
      </c>
    </row>
    <row r="185" spans="1:16">
      <c r="A185" t="n" s="4">
        <v>181</v>
      </c>
      <c r="B185" s="2">
        <f>HYPERLINK("https://my.zakupivli.pro/remote/dispatcher/state_purchase_view/49229215", "UA-2024-02-16-005137-a")</f>
        <v/>
      </c>
      <c r="C185" t="s" s="2">
        <v>1795</v>
      </c>
      <c r="D185" s="2">
        <f>HYPERLINK("https://my.zakupivli.pro/remote/dispatcher/state_contracting_view/19277175", "UA-2024-02-16-005137-a-c1")</f>
        <v/>
      </c>
      <c r="E185" t="s" s="1">
        <v>1468</v>
      </c>
      <c r="F185" t="s" s="1">
        <v>1213</v>
      </c>
      <c r="G185" t="s" s="1">
        <v>2072</v>
      </c>
      <c r="H185" t="s" s="1">
        <v>1212</v>
      </c>
      <c r="I185" t="s" s="1">
        <v>1729</v>
      </c>
      <c r="J185" t="s" s="1">
        <v>1691</v>
      </c>
      <c r="K185" t="s" s="1">
        <v>347</v>
      </c>
      <c r="L185" t="s" s="1">
        <v>69</v>
      </c>
      <c r="M185" t="n" s="7">
        <v>41000.0</v>
      </c>
      <c r="N185" t="n" s="6">
        <v>45335.0</v>
      </c>
      <c r="O185" t="n" s="6">
        <v>45657.0</v>
      </c>
      <c r="P185" t="s" s="1">
        <v>2009</v>
      </c>
    </row>
    <row r="186" spans="1:16">
      <c r="A186" t="n" s="4">
        <v>182</v>
      </c>
      <c r="B186" s="2">
        <f>HYPERLINK("https://my.zakupivli.pro/remote/dispatcher/state_purchase_view/49578459", "UA-2024-03-05-001198-a")</f>
        <v/>
      </c>
      <c r="C186" t="s" s="2">
        <v>1795</v>
      </c>
      <c r="D186" s="2">
        <f>HYPERLINK("https://my.zakupivli.pro/remote/dispatcher/state_contracting_view/19426977", "UA-2024-03-05-001198-a-a1")</f>
        <v/>
      </c>
      <c r="E186" t="s" s="1">
        <v>1444</v>
      </c>
      <c r="F186" t="s" s="1">
        <v>1226</v>
      </c>
      <c r="G186" t="s" s="1">
        <v>1843</v>
      </c>
      <c r="H186" t="s" s="1">
        <v>1227</v>
      </c>
      <c r="I186" t="s" s="1">
        <v>1729</v>
      </c>
      <c r="J186" t="s" s="1">
        <v>1862</v>
      </c>
      <c r="K186" t="s" s="1">
        <v>365</v>
      </c>
      <c r="L186" t="s" s="1">
        <v>114</v>
      </c>
      <c r="M186" t="n" s="7">
        <v>49500.0</v>
      </c>
      <c r="N186" t="n" s="6">
        <v>45356.0</v>
      </c>
      <c r="O186" t="n" s="6">
        <v>45657.0</v>
      </c>
      <c r="P186" t="s" s="1">
        <v>2009</v>
      </c>
    </row>
    <row r="187" spans="1:16">
      <c r="A187" t="n" s="4">
        <v>183</v>
      </c>
      <c r="B187" s="2">
        <f>HYPERLINK("https://my.zakupivli.pro/remote/dispatcher/state_purchase_view/49301206", "UA-2024-02-20-009612-a")</f>
        <v/>
      </c>
      <c r="C187" t="s" s="2">
        <v>1795</v>
      </c>
      <c r="D187" s="2">
        <f>HYPERLINK("https://my.zakupivli.pro/remote/dispatcher/state_contracting_view/19307900", "UA-2024-02-20-009612-a-a1")</f>
        <v/>
      </c>
      <c r="E187" t="s" s="1">
        <v>357</v>
      </c>
      <c r="F187" t="s" s="1">
        <v>634</v>
      </c>
      <c r="G187" t="s" s="1">
        <v>2046</v>
      </c>
      <c r="H187" t="s" s="1">
        <v>640</v>
      </c>
      <c r="I187" t="s" s="1">
        <v>1729</v>
      </c>
      <c r="J187" t="s" s="1">
        <v>2006</v>
      </c>
      <c r="K187" t="s" s="1">
        <v>380</v>
      </c>
      <c r="L187" t="s" s="1">
        <v>75</v>
      </c>
      <c r="M187" t="n" s="7">
        <v>31920.0</v>
      </c>
      <c r="N187" t="n" s="6">
        <v>45341.0</v>
      </c>
      <c r="O187" t="n" s="6">
        <v>45657.0</v>
      </c>
      <c r="P187" t="s" s="1">
        <v>2009</v>
      </c>
    </row>
    <row r="188" spans="1:16">
      <c r="A188" t="n" s="4">
        <v>184</v>
      </c>
      <c r="B188" s="2">
        <f>HYPERLINK("https://my.zakupivli.pro/remote/dispatcher/state_purchase_view/51996977", "UA-2024-07-04-007855-a")</f>
        <v/>
      </c>
      <c r="C188" t="s" s="2">
        <v>1795</v>
      </c>
      <c r="D188" s="2">
        <f>HYPERLINK("https://my.zakupivli.pro/remote/dispatcher/state_contracting_view/20889755", "UA-2024-07-04-007855-a-b1")</f>
        <v/>
      </c>
      <c r="E188" t="s" s="1">
        <v>1276</v>
      </c>
      <c r="F188" t="s" s="1">
        <v>1109</v>
      </c>
      <c r="G188" t="s" s="1">
        <v>2032</v>
      </c>
      <c r="H188" t="s" s="1">
        <v>1110</v>
      </c>
      <c r="I188" t="s" s="1">
        <v>1729</v>
      </c>
      <c r="J188" t="s" s="1">
        <v>1948</v>
      </c>
      <c r="K188" t="s" s="1">
        <v>35</v>
      </c>
      <c r="L188" t="s" s="1">
        <v>610</v>
      </c>
      <c r="M188" t="n" s="4">
        <v>23880</v>
      </c>
      <c r="N188" t="n" s="6">
        <v>45476.0</v>
      </c>
      <c r="O188" t="n" s="6">
        <v>45657.0</v>
      </c>
      <c r="P188" t="s" s="1">
        <v>2009</v>
      </c>
    </row>
    <row r="189" spans="1:16">
      <c r="A189" t="n" s="4">
        <v>185</v>
      </c>
      <c r="B189" s="2">
        <f>HYPERLINK("https://my.zakupivli.pro/remote/dispatcher/state_purchase_view/48989350", "UA-2024-02-07-000848-a")</f>
        <v/>
      </c>
      <c r="C189" t="s" s="2">
        <v>1795</v>
      </c>
      <c r="D189" s="2">
        <f>HYPERLINK("https://my.zakupivli.pro/remote/dispatcher/state_contracting_view/19174191", "UA-2024-02-07-000848-a-b1")</f>
        <v/>
      </c>
      <c r="E189" t="s" s="1">
        <v>34</v>
      </c>
      <c r="F189" t="s" s="1">
        <v>897</v>
      </c>
      <c r="G189" t="s" s="1">
        <v>902</v>
      </c>
      <c r="H189" t="s" s="1">
        <v>901</v>
      </c>
      <c r="I189" t="s" s="1">
        <v>1729</v>
      </c>
      <c r="J189" t="s" s="1">
        <v>1689</v>
      </c>
      <c r="K189" t="s" s="1">
        <v>349</v>
      </c>
      <c r="L189" t="s" s="1">
        <v>1439</v>
      </c>
      <c r="M189" t="n" s="7">
        <v>1800.0</v>
      </c>
      <c r="N189" t="n" s="6">
        <v>45328.0</v>
      </c>
      <c r="O189" t="n" s="6">
        <v>45657.0</v>
      </c>
      <c r="P189" t="s" s="1">
        <v>2009</v>
      </c>
    </row>
    <row r="190" spans="1:16">
      <c r="A190" t="n" s="4">
        <v>186</v>
      </c>
      <c r="B190" s="2">
        <f>HYPERLINK("https://my.zakupivli.pro/remote/dispatcher/state_purchase_view/49063617", "UA-2024-02-09-003037-a")</f>
        <v/>
      </c>
      <c r="C190" t="s" s="2">
        <v>1795</v>
      </c>
      <c r="D190" s="2">
        <f>HYPERLINK("https://my.zakupivli.pro/remote/dispatcher/state_contracting_view/19205614", "UA-2024-02-09-003037-a-c1")</f>
        <v/>
      </c>
      <c r="E190" t="s" s="1">
        <v>1551</v>
      </c>
      <c r="F190" t="s" s="1">
        <v>462</v>
      </c>
      <c r="G190" t="s" s="1">
        <v>467</v>
      </c>
      <c r="H190" t="s" s="1">
        <v>466</v>
      </c>
      <c r="I190" t="s" s="1">
        <v>1729</v>
      </c>
      <c r="J190" t="s" s="1">
        <v>1818</v>
      </c>
      <c r="K190" t="s" s="1">
        <v>649</v>
      </c>
      <c r="L190" t="s" s="1">
        <v>1486</v>
      </c>
      <c r="M190" t="n" s="7">
        <v>10560.0</v>
      </c>
      <c r="N190" t="n" s="6">
        <v>45330.0</v>
      </c>
      <c r="O190" t="n" s="6">
        <v>45657.0</v>
      </c>
      <c r="P190" t="s" s="1">
        <v>2009</v>
      </c>
    </row>
    <row r="191" spans="1:16">
      <c r="A191" t="n" s="4">
        <v>187</v>
      </c>
      <c r="B191" s="2">
        <f>HYPERLINK("https://my.zakupivli.pro/remote/dispatcher/state_purchase_view/52691701", "UA-2024-08-14-002117-a")</f>
        <v/>
      </c>
      <c r="C191" t="s" s="2">
        <v>1795</v>
      </c>
      <c r="D191" s="2">
        <f>HYPERLINK("https://my.zakupivli.pro/remote/dispatcher/state_contracting_view/21191587", "UA-2024-08-14-002117-a-b1")</f>
        <v/>
      </c>
      <c r="E191" t="s" s="1">
        <v>30</v>
      </c>
      <c r="F191" t="s" s="1">
        <v>1298</v>
      </c>
      <c r="G191" t="s" s="1">
        <v>1962</v>
      </c>
      <c r="H191" t="s" s="1">
        <v>1305</v>
      </c>
      <c r="I191" t="s" s="1">
        <v>1729</v>
      </c>
      <c r="J191" t="s" s="1">
        <v>1798</v>
      </c>
      <c r="K191" t="s" s="1">
        <v>430</v>
      </c>
      <c r="L191" t="s" s="1">
        <v>694</v>
      </c>
      <c r="M191" t="n" s="4">
        <v>85000</v>
      </c>
      <c r="N191" t="n" s="6">
        <v>45516.0</v>
      </c>
      <c r="O191" t="n" s="6">
        <v>45657.0</v>
      </c>
      <c r="P191" t="s" s="1">
        <v>2009</v>
      </c>
    </row>
    <row r="192" spans="1:16">
      <c r="A192" t="n" s="4">
        <v>188</v>
      </c>
      <c r="B192" s="2">
        <f>HYPERLINK("https://my.zakupivli.pro/remote/dispatcher/state_purchase_view/52064455", "UA-2024-07-09-005169-a")</f>
        <v/>
      </c>
      <c r="C192" t="s" s="2">
        <v>1795</v>
      </c>
      <c r="D192" s="2">
        <f>HYPERLINK("https://my.zakupivli.pro/remote/dispatcher/state_contracting_view/20919293", "UA-2024-07-09-005169-a-c1")</f>
        <v/>
      </c>
      <c r="E192" t="s" s="1">
        <v>414</v>
      </c>
      <c r="F192" t="s" s="1">
        <v>774</v>
      </c>
      <c r="G192" t="s" s="1">
        <v>777</v>
      </c>
      <c r="H192" t="s" s="1">
        <v>776</v>
      </c>
      <c r="I192" t="s" s="1">
        <v>1729</v>
      </c>
      <c r="J192" t="s" s="1">
        <v>1982</v>
      </c>
      <c r="K192" t="s" s="1">
        <v>580</v>
      </c>
      <c r="L192" t="s" s="1">
        <v>613</v>
      </c>
      <c r="M192" t="n" s="4">
        <v>26770</v>
      </c>
      <c r="N192" t="n" s="6">
        <v>45481.0</v>
      </c>
      <c r="O192" t="n" s="6">
        <v>45657.0</v>
      </c>
      <c r="P192" t="s" s="1">
        <v>2009</v>
      </c>
    </row>
    <row r="193" spans="1:16">
      <c r="A193" t="n" s="4">
        <v>189</v>
      </c>
      <c r="B193" s="2">
        <f>HYPERLINK("https://my.zakupivli.pro/remote/dispatcher/state_purchase_view/53862829", "UA-2024-10-09-001255-a")</f>
        <v/>
      </c>
      <c r="C193" t="s" s="2">
        <v>1795</v>
      </c>
      <c r="D193" s="2">
        <f>HYPERLINK("https://my.zakupivli.pro/remote/dispatcher/state_contracting_view/21693269", "UA-2024-10-09-001255-a-b1")</f>
        <v/>
      </c>
      <c r="E193" t="s" s="1">
        <v>1548</v>
      </c>
      <c r="F193" t="s" s="1">
        <v>1037</v>
      </c>
      <c r="G193" t="s" s="1">
        <v>1042</v>
      </c>
      <c r="H193" t="s" s="1">
        <v>1031</v>
      </c>
      <c r="I193" t="s" s="1">
        <v>1729</v>
      </c>
      <c r="J193" t="s" s="1">
        <v>1816</v>
      </c>
      <c r="K193" t="s" s="1">
        <v>1027</v>
      </c>
      <c r="L193" t="s" s="1">
        <v>1125</v>
      </c>
      <c r="M193" t="n" s="7">
        <v>121552.19</v>
      </c>
      <c r="N193" t="n" s="6">
        <v>45573.0</v>
      </c>
      <c r="O193" t="n" s="6">
        <v>45657.0</v>
      </c>
      <c r="P193" t="s" s="1">
        <v>2009</v>
      </c>
    </row>
    <row r="194" spans="1:16">
      <c r="A194" t="n" s="4">
        <v>190</v>
      </c>
      <c r="B194" s="2">
        <f>HYPERLINK("https://my.zakupivli.pro/remote/dispatcher/state_purchase_view/55912714", "UA-2024-12-18-013158-a")</f>
        <v/>
      </c>
      <c r="C194" t="s" s="2">
        <v>1795</v>
      </c>
      <c r="D194" s="2">
        <f>HYPERLINK("https://my.zakupivli.pro/remote/dispatcher/state_contracting_view/22577008", "UA-2024-12-18-013158-a-b1")</f>
        <v/>
      </c>
      <c r="E194" t="s" s="1">
        <v>1636</v>
      </c>
      <c r="F194" t="s" s="1">
        <v>286</v>
      </c>
      <c r="G194" t="s" s="1">
        <v>1997</v>
      </c>
      <c r="H194" t="s" s="1">
        <v>287</v>
      </c>
      <c r="I194" t="s" s="1">
        <v>1729</v>
      </c>
      <c r="J194" t="s" s="1">
        <v>1937</v>
      </c>
      <c r="K194" t="s" s="1">
        <v>400</v>
      </c>
      <c r="L194" t="s" s="1">
        <v>1216</v>
      </c>
      <c r="M194" t="n" s="7">
        <v>4857.6</v>
      </c>
      <c r="N194" t="n" s="6">
        <v>45644.0</v>
      </c>
      <c r="O194" t="n" s="6">
        <v>45657.0</v>
      </c>
      <c r="P194" t="s" s="1">
        <v>2009</v>
      </c>
    </row>
    <row r="195" spans="1:16">
      <c r="A195" t="n" s="4">
        <v>191</v>
      </c>
      <c r="B195" s="2">
        <f>HYPERLINK("https://my.zakupivli.pro/remote/dispatcher/state_purchase_view/55268793", "UA-2024-11-29-012417-a")</f>
        <v/>
      </c>
      <c r="C195" s="2">
        <f>HYPERLINK("https://my.zakupivli.pro/remote/dispatcher/state_purchase_lot_view/1477719", "UA-2024-11-29-012417-a-L1477719")</f>
        <v/>
      </c>
      <c r="D195" s="2">
        <f>HYPERLINK("https://my.zakupivli.pro/remote/dispatcher/state_contracting_view/22495189", "UA-2024-11-29-012417-a-c1")</f>
        <v/>
      </c>
      <c r="E195" t="s" s="1">
        <v>1514</v>
      </c>
      <c r="F195" t="s" s="1">
        <v>482</v>
      </c>
      <c r="G195" t="s" s="1">
        <v>1677</v>
      </c>
      <c r="H195" t="s" s="1">
        <v>484</v>
      </c>
      <c r="I195" t="s" s="1">
        <v>1697</v>
      </c>
      <c r="J195" t="s" s="1">
        <v>1965</v>
      </c>
      <c r="K195" t="s" s="1">
        <v>755</v>
      </c>
      <c r="L195" t="s" s="1">
        <v>1233</v>
      </c>
      <c r="M195" t="n" s="7">
        <v>520002.0</v>
      </c>
      <c r="N195" t="n" s="6">
        <v>45649.0</v>
      </c>
      <c r="O195" t="n" s="6">
        <v>45657.0</v>
      </c>
      <c r="P195" t="s" s="1">
        <v>2009</v>
      </c>
    </row>
    <row r="196" spans="1:16">
      <c r="A196" t="n" s="4">
        <v>192</v>
      </c>
      <c r="B196" s="2">
        <f>HYPERLINK("https://my.zakupivli.pro/remote/dispatcher/state_purchase_view/55486359", "UA-2024-12-06-008823-a")</f>
        <v/>
      </c>
      <c r="C196" s="2">
        <f>HYPERLINK("https://my.zakupivli.pro/remote/dispatcher/state_purchase_lot_view/1486780", "UA-2024-12-06-008823-a-L1486780")</f>
        <v/>
      </c>
      <c r="D196" s="2">
        <f>HYPERLINK("https://my.zakupivli.pro/remote/dispatcher/state_contracting_view/22549939", "UA-2024-12-06-008823-a-c1")</f>
        <v/>
      </c>
      <c r="E196" t="s" s="1">
        <v>1448</v>
      </c>
      <c r="F196" t="s" s="1">
        <v>125</v>
      </c>
      <c r="G196" t="s" s="1">
        <v>1756</v>
      </c>
      <c r="H196" t="s" s="1">
        <v>127</v>
      </c>
      <c r="I196" t="s" s="1">
        <v>1697</v>
      </c>
      <c r="J196" t="s" s="1">
        <v>1966</v>
      </c>
      <c r="K196" t="s" s="1">
        <v>769</v>
      </c>
      <c r="L196" t="s" s="1">
        <v>1234</v>
      </c>
      <c r="M196" t="n" s="7">
        <v>69861.96</v>
      </c>
      <c r="N196" t="n" s="6">
        <v>45649.0</v>
      </c>
      <c r="O196" t="n" s="6">
        <v>45657.0</v>
      </c>
      <c r="P196" t="s" s="1">
        <v>2009</v>
      </c>
    </row>
    <row r="197" spans="1:16">
      <c r="A197" t="n" s="4">
        <v>193</v>
      </c>
      <c r="B197" s="2">
        <f>HYPERLINK("https://my.zakupivli.pro/remote/dispatcher/state_purchase_view/52691280", "UA-2024-08-14-001926-a")</f>
        <v/>
      </c>
      <c r="C197" t="s" s="2">
        <v>1795</v>
      </c>
      <c r="D197" s="2">
        <f>HYPERLINK("https://my.zakupivli.pro/remote/dispatcher/state_contracting_view/21191383", "UA-2024-08-14-001926-a-c1")</f>
        <v/>
      </c>
      <c r="E197" t="s" s="1">
        <v>1155</v>
      </c>
      <c r="F197" t="s" s="1">
        <v>1051</v>
      </c>
      <c r="G197" t="s" s="1">
        <v>2079</v>
      </c>
      <c r="H197" t="s" s="1">
        <v>1050</v>
      </c>
      <c r="I197" t="s" s="1">
        <v>1729</v>
      </c>
      <c r="J197" t="s" s="1">
        <v>1905</v>
      </c>
      <c r="K197" t="s" s="1">
        <v>861</v>
      </c>
      <c r="L197" t="s" s="1">
        <v>690</v>
      </c>
      <c r="M197" t="n" s="7">
        <v>7052388.8</v>
      </c>
      <c r="N197" t="n" s="6">
        <v>45516.0</v>
      </c>
      <c r="O197" t="n" s="6">
        <v>45657.0</v>
      </c>
      <c r="P197" t="s" s="1">
        <v>2009</v>
      </c>
    </row>
    <row r="198" spans="1:16">
      <c r="A198" t="n" s="4">
        <v>194</v>
      </c>
      <c r="B198" s="2">
        <f>HYPERLINK("https://my.zakupivli.pro/remote/dispatcher/state_purchase_view/49886169", "UA-2024-03-19-007781-a")</f>
        <v/>
      </c>
      <c r="C198" s="2">
        <f>HYPERLINK("https://my.zakupivli.pro/remote/dispatcher/state_purchase_lot_view/1235685", "UA-2024-03-19-007781-a-L1235685")</f>
        <v/>
      </c>
      <c r="D198" s="2">
        <f>HYPERLINK("https://my.zakupivli.pro/remote/dispatcher/state_contracting_view/19720802", "UA-2024-03-19-007781-a-c1")</f>
        <v/>
      </c>
      <c r="E198" t="s" s="1">
        <v>1475</v>
      </c>
      <c r="F198" t="s" s="1">
        <v>596</v>
      </c>
      <c r="G198" t="s" s="1">
        <v>1695</v>
      </c>
      <c r="H198" t="s" s="1">
        <v>595</v>
      </c>
      <c r="I198" t="s" s="1">
        <v>1697</v>
      </c>
      <c r="J198" t="s" s="1">
        <v>1805</v>
      </c>
      <c r="K198" t="s" s="1">
        <v>645</v>
      </c>
      <c r="L198" t="s" s="1">
        <v>181</v>
      </c>
      <c r="M198" t="n" s="7">
        <v>1650500.0</v>
      </c>
      <c r="N198" t="n" s="6">
        <v>45385.0</v>
      </c>
      <c r="O198" t="n" s="6">
        <v>45657.0</v>
      </c>
      <c r="P198" t="s" s="1">
        <v>2036</v>
      </c>
    </row>
    <row r="199" spans="1:16">
      <c r="A199" t="n" s="4">
        <v>195</v>
      </c>
      <c r="B199" s="2">
        <f>HYPERLINK("https://my.zakupivli.pro/remote/dispatcher/state_purchase_view/48448797", "UA-2024-01-17-017081-a")</f>
        <v/>
      </c>
      <c r="C199" t="s" s="2">
        <v>1795</v>
      </c>
      <c r="D199" s="2">
        <f>HYPERLINK("https://my.zakupivli.pro/remote/dispatcher/state_contracting_view/18942859", "UA-2024-01-17-017081-a-c1")</f>
        <v/>
      </c>
      <c r="E199" t="s" s="1">
        <v>58</v>
      </c>
      <c r="F199" t="s" s="1">
        <v>1239</v>
      </c>
      <c r="G199" t="s" s="1">
        <v>2067</v>
      </c>
      <c r="H199" t="s" s="1">
        <v>1238</v>
      </c>
      <c r="I199" t="s" s="1">
        <v>1729</v>
      </c>
      <c r="J199" t="s" s="1">
        <v>1669</v>
      </c>
      <c r="K199" t="s" s="1">
        <v>294</v>
      </c>
      <c r="L199" t="s" s="1">
        <v>931</v>
      </c>
      <c r="M199" t="n" s="7">
        <v>36823720.0</v>
      </c>
      <c r="N199" t="n" s="6">
        <v>45306.0</v>
      </c>
      <c r="O199" t="n" s="6">
        <v>45657.0</v>
      </c>
      <c r="P199" t="s" s="1">
        <v>2036</v>
      </c>
    </row>
    <row r="200" spans="1:16">
      <c r="A200" t="n" s="4">
        <v>196</v>
      </c>
      <c r="B200" s="2">
        <f>HYPERLINK("https://my.zakupivli.pro/remote/dispatcher/state_purchase_view/48643804", "UA-2024-01-24-012682-a")</f>
        <v/>
      </c>
      <c r="C200" s="2">
        <f>HYPERLINK("https://my.zakupivli.pro/remote/dispatcher/state_purchase_lot_view/1187014", "UA-2024-01-24-012682-a-L1187014")</f>
        <v/>
      </c>
      <c r="D200" s="2">
        <f>HYPERLINK("https://my.zakupivli.pro/remote/dispatcher/state_contracting_view/19307548", "UA-2024-01-24-012682-a-b1")</f>
        <v/>
      </c>
      <c r="E200" t="s" s="1">
        <v>1588</v>
      </c>
      <c r="F200" t="s" s="1">
        <v>978</v>
      </c>
      <c r="G200" t="s" s="1">
        <v>1853</v>
      </c>
      <c r="H200" t="s" s="1">
        <v>977</v>
      </c>
      <c r="I200" t="s" s="1">
        <v>1697</v>
      </c>
      <c r="J200" t="s" s="1">
        <v>1824</v>
      </c>
      <c r="K200" t="s" s="1">
        <v>759</v>
      </c>
      <c r="L200" t="s" s="1">
        <v>84</v>
      </c>
      <c r="M200" t="n" s="7">
        <v>1199899.92</v>
      </c>
      <c r="N200" t="n" s="6">
        <v>45342.0</v>
      </c>
      <c r="O200" t="n" s="6">
        <v>45657.0</v>
      </c>
      <c r="P200" t="s" s="1">
        <v>2036</v>
      </c>
    </row>
    <row r="201" spans="1:16">
      <c r="A201" t="n" s="4">
        <v>197</v>
      </c>
      <c r="B201" s="2">
        <f>HYPERLINK("https://my.zakupivli.pro/remote/dispatcher/state_purchase_view/53404027", "UA-2024-09-18-007628-a")</f>
        <v/>
      </c>
      <c r="C201" s="2">
        <f>HYPERLINK("https://my.zakupivli.pro/remote/dispatcher/state_purchase_lot_view/1394753", "UA-2024-09-18-007628-a-L1394753")</f>
        <v/>
      </c>
      <c r="D201" s="2">
        <f>HYPERLINK("https://my.zakupivli.pro/remote/dispatcher/state_contracting_view/21615614", "UA-2024-09-18-007628-a-a1")</f>
        <v/>
      </c>
      <c r="E201" t="s" s="1">
        <v>1574</v>
      </c>
      <c r="F201" t="s" s="1">
        <v>599</v>
      </c>
      <c r="G201" t="s" s="1">
        <v>1998</v>
      </c>
      <c r="H201" t="s" s="1">
        <v>601</v>
      </c>
      <c r="I201" t="s" s="1">
        <v>1697</v>
      </c>
      <c r="J201" t="s" s="1">
        <v>1978</v>
      </c>
      <c r="K201" t="s" s="1">
        <v>329</v>
      </c>
      <c r="L201" t="s" s="1">
        <v>1132</v>
      </c>
      <c r="M201" t="n" s="7">
        <v>191509.68</v>
      </c>
      <c r="N201" t="n" s="6">
        <v>45580.0</v>
      </c>
      <c r="O201" t="n" s="6">
        <v>45657.0</v>
      </c>
      <c r="P201" t="s" s="1">
        <v>2036</v>
      </c>
    </row>
    <row r="202" spans="1:16">
      <c r="A202" t="n" s="4">
        <v>198</v>
      </c>
      <c r="B202" s="2">
        <f>HYPERLINK("https://my.zakupivli.pro/remote/dispatcher/state_purchase_view/48698384", "UA-2024-01-26-001444-a")</f>
        <v/>
      </c>
      <c r="C202" t="s" s="2">
        <v>1795</v>
      </c>
      <c r="D202" s="2">
        <f>HYPERLINK("https://my.zakupivli.pro/remote/dispatcher/state_contracting_view/19048854", "UA-2024-01-26-001444-a-a1")</f>
        <v/>
      </c>
      <c r="E202" t="s" s="1">
        <v>385</v>
      </c>
      <c r="F202" t="s" s="1">
        <v>564</v>
      </c>
      <c r="G202" t="s" s="1">
        <v>1681</v>
      </c>
      <c r="H202" t="s" s="1">
        <v>565</v>
      </c>
      <c r="I202" t="s" s="1">
        <v>1729</v>
      </c>
      <c r="J202" t="s" s="1">
        <v>1820</v>
      </c>
      <c r="K202" t="s" s="1">
        <v>250</v>
      </c>
      <c r="L202" t="s" s="1">
        <v>1137</v>
      </c>
      <c r="M202" t="n" s="7">
        <v>5789.4</v>
      </c>
      <c r="N202" t="n" s="6">
        <v>45316.0</v>
      </c>
      <c r="O202" t="n" s="6">
        <v>45657.0</v>
      </c>
      <c r="P202" t="s" s="1">
        <v>2009</v>
      </c>
    </row>
    <row r="203" spans="1:16">
      <c r="A203" t="n" s="4">
        <v>199</v>
      </c>
      <c r="B203" s="2">
        <f>HYPERLINK("https://my.zakupivli.pro/remote/dispatcher/state_purchase_view/50900229", "UA-2024-05-09-002114-a")</f>
        <v/>
      </c>
      <c r="C203" t="s" s="2">
        <v>1795</v>
      </c>
      <c r="D203" s="2">
        <f>HYPERLINK("https://my.zakupivli.pro/remote/dispatcher/state_contracting_view/20256803", "UA-2024-05-09-002114-a-a1")</f>
        <v/>
      </c>
      <c r="E203" t="s" s="1">
        <v>1503</v>
      </c>
      <c r="F203" t="s" s="1">
        <v>786</v>
      </c>
      <c r="G203" t="s" s="1">
        <v>790</v>
      </c>
      <c r="H203" t="s" s="1">
        <v>789</v>
      </c>
      <c r="I203" t="s" s="1">
        <v>1729</v>
      </c>
      <c r="J203" t="s" s="1">
        <v>1815</v>
      </c>
      <c r="K203" t="s" s="1">
        <v>648</v>
      </c>
      <c r="L203" t="s" s="1">
        <v>346</v>
      </c>
      <c r="M203" t="n" s="7">
        <v>46968.0</v>
      </c>
      <c r="N203" t="n" s="6">
        <v>45420.0</v>
      </c>
      <c r="O203" t="n" s="6">
        <v>45657.0</v>
      </c>
      <c r="P203" t="s" s="1">
        <v>2009</v>
      </c>
    </row>
    <row r="204" spans="1:16">
      <c r="A204" t="n" s="4">
        <v>200</v>
      </c>
      <c r="B204" s="2">
        <f>HYPERLINK("https://my.zakupivli.pro/remote/dispatcher/state_purchase_view/48832818", "UA-2024-01-31-011097-a")</f>
        <v/>
      </c>
      <c r="C204" t="s" s="2">
        <v>1795</v>
      </c>
      <c r="D204" s="2">
        <f>HYPERLINK("https://my.zakupivli.pro/remote/dispatcher/state_contracting_view/19107011", "UA-2024-01-31-011097-a-b1")</f>
        <v/>
      </c>
      <c r="E204" t="s" s="1">
        <v>813</v>
      </c>
      <c r="F204" t="s" s="1">
        <v>906</v>
      </c>
      <c r="G204" t="s" s="1">
        <v>908</v>
      </c>
      <c r="H204" t="s" s="1">
        <v>907</v>
      </c>
      <c r="I204" t="s" s="1">
        <v>1729</v>
      </c>
      <c r="J204" t="s" s="1">
        <v>1937</v>
      </c>
      <c r="K204" t="s" s="1">
        <v>400</v>
      </c>
      <c r="L204" t="s" s="1">
        <v>1267</v>
      </c>
      <c r="M204" t="n" s="7">
        <v>2928.54</v>
      </c>
      <c r="N204" t="n" s="6">
        <v>45321.0</v>
      </c>
      <c r="O204" t="n" s="6">
        <v>45657.0</v>
      </c>
      <c r="P204" t="s" s="1">
        <v>2009</v>
      </c>
    </row>
    <row r="205" spans="1:16">
      <c r="A205" t="n" s="4">
        <v>201</v>
      </c>
      <c r="B205" s="2">
        <f>HYPERLINK("https://my.zakupivli.pro/remote/dispatcher/state_purchase_view/48992623", "UA-2024-02-07-002289-a")</f>
        <v/>
      </c>
      <c r="C205" t="s" s="2">
        <v>1795</v>
      </c>
      <c r="D205" s="2">
        <f>HYPERLINK("https://my.zakupivli.pro/remote/dispatcher/state_contracting_view/19175528", "UA-2024-02-07-002289-a-b1")</f>
        <v/>
      </c>
      <c r="E205" t="s" s="1">
        <v>1467</v>
      </c>
      <c r="F205" t="s" s="1">
        <v>625</v>
      </c>
      <c r="G205" t="s" s="1">
        <v>1781</v>
      </c>
      <c r="H205" t="s" s="1">
        <v>624</v>
      </c>
      <c r="I205" t="s" s="1">
        <v>1729</v>
      </c>
      <c r="J205" t="s" s="1">
        <v>1810</v>
      </c>
      <c r="K205" t="s" s="1">
        <v>249</v>
      </c>
      <c r="L205" t="s" s="1">
        <v>1469</v>
      </c>
      <c r="M205" t="n" s="7">
        <v>48174.0</v>
      </c>
      <c r="N205" t="n" s="6">
        <v>45329.0</v>
      </c>
      <c r="O205" t="n" s="6">
        <v>45657.0</v>
      </c>
      <c r="P205" t="s" s="1">
        <v>2009</v>
      </c>
    </row>
    <row r="206" spans="1:16">
      <c r="A206" t="n" s="4">
        <v>202</v>
      </c>
      <c r="B206" s="2">
        <f>HYPERLINK("https://my.zakupivli.pro/remote/dispatcher/state_purchase_view/48737404", "UA-2024-01-29-001205-a")</f>
        <v/>
      </c>
      <c r="C206" t="s" s="2">
        <v>1795</v>
      </c>
      <c r="D206" s="2">
        <f>HYPERLINK("https://my.zakupivli.pro/remote/dispatcher/state_contracting_view/19065852", "UA-2024-01-29-001205-a-b1")</f>
        <v/>
      </c>
      <c r="E206" t="s" s="1">
        <v>136</v>
      </c>
      <c r="F206" t="s" s="1">
        <v>636</v>
      </c>
      <c r="G206" t="s" s="1">
        <v>639</v>
      </c>
      <c r="H206" t="s" s="1">
        <v>638</v>
      </c>
      <c r="I206" t="s" s="1">
        <v>1729</v>
      </c>
      <c r="J206" t="s" s="1">
        <v>2006</v>
      </c>
      <c r="K206" t="s" s="1">
        <v>380</v>
      </c>
      <c r="L206" t="s" s="1">
        <v>159</v>
      </c>
      <c r="M206" t="n" s="7">
        <v>32400.0</v>
      </c>
      <c r="N206" t="n" s="6">
        <v>45320.0</v>
      </c>
      <c r="O206" t="n" s="6">
        <v>45657.0</v>
      </c>
      <c r="P206" t="s" s="1">
        <v>2009</v>
      </c>
    </row>
    <row r="207" spans="1:16">
      <c r="A207" t="n" s="4">
        <v>203</v>
      </c>
      <c r="B207" s="2">
        <f>HYPERLINK("https://my.zakupivli.pro/remote/dispatcher/state_purchase_view/48931648", "UA-2024-02-05-007372-a")</f>
        <v/>
      </c>
      <c r="C207" t="s" s="2">
        <v>1795</v>
      </c>
      <c r="D207" s="2">
        <f>HYPERLINK("https://my.zakupivli.pro/remote/dispatcher/state_contracting_view/19149658", "UA-2024-02-05-007372-a-a1")</f>
        <v/>
      </c>
      <c r="E207" t="s" s="1">
        <v>1598</v>
      </c>
      <c r="F207" t="s" s="1">
        <v>1429</v>
      </c>
      <c r="G207" t="s" s="1">
        <v>1429</v>
      </c>
      <c r="H207" t="s" s="1">
        <v>1427</v>
      </c>
      <c r="I207" t="s" s="1">
        <v>1729</v>
      </c>
      <c r="J207" t="s" s="1">
        <v>1926</v>
      </c>
      <c r="K207" t="s" s="1">
        <v>922</v>
      </c>
      <c r="L207" t="s" s="1">
        <v>1430</v>
      </c>
      <c r="M207" t="n" s="7">
        <v>49750.0</v>
      </c>
      <c r="N207" t="n" s="6">
        <v>45327.0</v>
      </c>
      <c r="O207" t="n" s="6">
        <v>45657.0</v>
      </c>
      <c r="P207" t="s" s="1">
        <v>2009</v>
      </c>
    </row>
    <row r="208" spans="1:16">
      <c r="A208" t="n" s="4">
        <v>204</v>
      </c>
      <c r="B208" s="2">
        <f>HYPERLINK("https://my.zakupivli.pro/remote/dispatcher/state_purchase_view/49269328", "UA-2024-02-19-009766-a")</f>
        <v/>
      </c>
      <c r="C208" t="s" s="2">
        <v>1795</v>
      </c>
      <c r="D208" s="2">
        <f>HYPERLINK("https://my.zakupivli.pro/remote/dispatcher/state_contracting_view/19294715", "UA-2024-02-19-009766-a-b1")</f>
        <v/>
      </c>
      <c r="E208" t="s" s="1">
        <v>393</v>
      </c>
      <c r="F208" t="s" s="1">
        <v>932</v>
      </c>
      <c r="G208" t="s" s="1">
        <v>935</v>
      </c>
      <c r="H208" t="s" s="1">
        <v>934</v>
      </c>
      <c r="I208" t="s" s="1">
        <v>1729</v>
      </c>
      <c r="J208" t="s" s="1">
        <v>1917</v>
      </c>
      <c r="K208" t="s" s="1">
        <v>546</v>
      </c>
      <c r="L208" t="s" s="1">
        <v>147</v>
      </c>
      <c r="M208" t="n" s="7">
        <v>30375.36</v>
      </c>
      <c r="N208" t="n" s="6">
        <v>45337.0</v>
      </c>
      <c r="O208" t="n" s="6">
        <v>45657.0</v>
      </c>
      <c r="P208" t="s" s="1">
        <v>2009</v>
      </c>
    </row>
    <row r="209" spans="1:16">
      <c r="A209" t="n" s="4">
        <v>205</v>
      </c>
      <c r="B209" s="2">
        <f>HYPERLINK("https://my.zakupivli.pro/remote/dispatcher/state_purchase_view/49426726", "UA-2024-02-26-008310-a")</f>
        <v/>
      </c>
      <c r="C209" t="s" s="2">
        <v>1795</v>
      </c>
      <c r="D209" s="2">
        <f>HYPERLINK("https://my.zakupivli.pro/remote/dispatcher/state_contracting_view/19361496", "UA-2024-02-26-008310-a-c1")</f>
        <v/>
      </c>
      <c r="E209" t="s" s="1">
        <v>59</v>
      </c>
      <c r="F209" t="s" s="1">
        <v>1326</v>
      </c>
      <c r="G209" t="s" s="1">
        <v>1330</v>
      </c>
      <c r="H209" t="s" s="1">
        <v>1329</v>
      </c>
      <c r="I209" t="s" s="1">
        <v>1729</v>
      </c>
      <c r="J209" t="s" s="1">
        <v>1736</v>
      </c>
      <c r="K209" t="s" s="1">
        <v>204</v>
      </c>
      <c r="L209" t="s" s="1">
        <v>822</v>
      </c>
      <c r="M209" t="n" s="7">
        <v>9896.98</v>
      </c>
      <c r="N209" t="n" s="6">
        <v>45348.0</v>
      </c>
      <c r="O209" t="n" s="6">
        <v>45657.0</v>
      </c>
      <c r="P209" t="s" s="1">
        <v>2009</v>
      </c>
    </row>
    <row r="210" spans="1:16">
      <c r="A210" t="n" s="4">
        <v>206</v>
      </c>
      <c r="B210" s="2">
        <f>HYPERLINK("https://my.zakupivli.pro/remote/dispatcher/state_purchase_view/49315353", "UA-2024-02-21-001584-a")</f>
        <v/>
      </c>
      <c r="C210" t="s" s="2">
        <v>1795</v>
      </c>
      <c r="D210" s="2">
        <f>HYPERLINK("https://my.zakupivli.pro/remote/dispatcher/state_contracting_view/19314193", "UA-2024-02-21-001584-a-a1")</f>
        <v/>
      </c>
      <c r="E210" t="s" s="1">
        <v>194</v>
      </c>
      <c r="F210" t="s" s="1">
        <v>423</v>
      </c>
      <c r="G210" t="s" s="1">
        <v>428</v>
      </c>
      <c r="H210" t="s" s="1">
        <v>427</v>
      </c>
      <c r="I210" t="s" s="1">
        <v>1729</v>
      </c>
      <c r="J210" t="s" s="1">
        <v>2007</v>
      </c>
      <c r="K210" t="s" s="1">
        <v>373</v>
      </c>
      <c r="L210" t="s" s="1">
        <v>79</v>
      </c>
      <c r="M210" t="n" s="7">
        <v>7080.0</v>
      </c>
      <c r="N210" t="n" s="6">
        <v>45341.0</v>
      </c>
      <c r="O210" t="n" s="6">
        <v>45657.0</v>
      </c>
      <c r="P210" t="s" s="1">
        <v>2009</v>
      </c>
    </row>
    <row r="211" spans="1:16">
      <c r="A211" t="n" s="4">
        <v>207</v>
      </c>
      <c r="B211" s="2">
        <f>HYPERLINK("https://my.zakupivli.pro/remote/dispatcher/state_purchase_view/49348027", "UA-2024-02-22-001624-a")</f>
        <v/>
      </c>
      <c r="C211" t="s" s="2">
        <v>1795</v>
      </c>
      <c r="D211" s="2">
        <f>HYPERLINK("https://my.zakupivli.pro/remote/dispatcher/state_contracting_view/19328092", "UA-2024-02-22-001624-a-b1")</f>
        <v/>
      </c>
      <c r="E211" t="s" s="1">
        <v>1070</v>
      </c>
      <c r="F211" t="s" s="1">
        <v>855</v>
      </c>
      <c r="G211" t="s" s="1">
        <v>858</v>
      </c>
      <c r="H211" t="s" s="1">
        <v>857</v>
      </c>
      <c r="I211" t="s" s="1">
        <v>1729</v>
      </c>
      <c r="J211" t="s" s="1">
        <v>1921</v>
      </c>
      <c r="K211" t="s" s="1">
        <v>856</v>
      </c>
      <c r="L211" t="s" s="1">
        <v>87</v>
      </c>
      <c r="M211" t="n" s="7">
        <v>39600.0</v>
      </c>
      <c r="N211" t="n" s="6">
        <v>45343.0</v>
      </c>
      <c r="O211" t="n" s="6">
        <v>45657.0</v>
      </c>
      <c r="P211" t="s" s="1">
        <v>2009</v>
      </c>
    </row>
    <row r="212" spans="1:16">
      <c r="A212" t="n" s="4">
        <v>208</v>
      </c>
      <c r="B212" s="2">
        <f>HYPERLINK("https://my.zakupivli.pro/remote/dispatcher/state_purchase_view/49645691", "UA-2024-03-07-002178-a")</f>
        <v/>
      </c>
      <c r="C212" t="s" s="2">
        <v>1795</v>
      </c>
      <c r="D212" s="2">
        <f>HYPERLINK("https://my.zakupivli.pro/remote/dispatcher/state_contracting_view/19455951", "UA-2024-03-07-002178-a-c1")</f>
        <v/>
      </c>
      <c r="E212" t="s" s="1">
        <v>1084</v>
      </c>
      <c r="F212" t="s" s="1">
        <v>1000</v>
      </c>
      <c r="G212" t="s" s="1">
        <v>1004</v>
      </c>
      <c r="H212" t="s" s="1">
        <v>1003</v>
      </c>
      <c r="I212" t="s" s="1">
        <v>1729</v>
      </c>
      <c r="J212" t="s" s="1">
        <v>1918</v>
      </c>
      <c r="K212" t="s" s="1">
        <v>916</v>
      </c>
      <c r="L212" t="s" s="1">
        <v>118</v>
      </c>
      <c r="M212" t="n" s="7">
        <v>14400.0</v>
      </c>
      <c r="N212" t="n" s="6">
        <v>45356.0</v>
      </c>
      <c r="O212" t="n" s="6">
        <v>45657.0</v>
      </c>
      <c r="P212" t="s" s="1">
        <v>2009</v>
      </c>
    </row>
    <row r="213" spans="1:16">
      <c r="A213" t="n" s="4">
        <v>209</v>
      </c>
      <c r="B213" s="2">
        <f>HYPERLINK("https://my.zakupivli.pro/remote/dispatcher/state_purchase_view/49859348", "UA-2024-03-18-009059-a")</f>
        <v/>
      </c>
      <c r="C213" t="s" s="2">
        <v>1795</v>
      </c>
      <c r="D213" s="2">
        <f>HYPERLINK("https://my.zakupivli.pro/remote/dispatcher/state_contracting_view/19547801", "UA-2024-03-18-009059-a-c1")</f>
        <v/>
      </c>
      <c r="E213" t="s" s="1">
        <v>1535</v>
      </c>
      <c r="F213" t="s" s="1">
        <v>1307</v>
      </c>
      <c r="G213" t="s" s="1">
        <v>2085</v>
      </c>
      <c r="H213" t="s" s="1">
        <v>1306</v>
      </c>
      <c r="I213" t="s" s="1">
        <v>1729</v>
      </c>
      <c r="J213" t="s" s="1">
        <v>1736</v>
      </c>
      <c r="K213" t="s" s="1">
        <v>204</v>
      </c>
      <c r="L213" t="s" s="1">
        <v>252</v>
      </c>
      <c r="M213" t="n" s="7">
        <v>9951.0</v>
      </c>
      <c r="N213" t="n" s="6">
        <v>45365.0</v>
      </c>
      <c r="O213" t="n" s="6">
        <v>45657.0</v>
      </c>
      <c r="P213" t="s" s="1">
        <v>2009</v>
      </c>
    </row>
    <row r="214" spans="1:16">
      <c r="A214" t="n" s="4">
        <v>210</v>
      </c>
      <c r="B214" s="2">
        <f>HYPERLINK("https://my.zakupivli.pro/remote/dispatcher/state_purchase_view/49908909", "UA-2024-03-20-004149-a")</f>
        <v/>
      </c>
      <c r="C214" t="s" s="2">
        <v>1795</v>
      </c>
      <c r="D214" s="2">
        <f>HYPERLINK("https://my.zakupivli.pro/remote/dispatcher/state_contracting_view/19569181", "UA-2024-03-20-004149-a-c1")</f>
        <v/>
      </c>
      <c r="E214" t="s" s="1">
        <v>800</v>
      </c>
      <c r="F214" t="s" s="1">
        <v>614</v>
      </c>
      <c r="G214" t="s" s="1">
        <v>616</v>
      </c>
      <c r="H214" t="s" s="1">
        <v>615</v>
      </c>
      <c r="I214" t="s" s="1">
        <v>1729</v>
      </c>
      <c r="J214" t="s" s="1">
        <v>1739</v>
      </c>
      <c r="K214" t="s" s="1">
        <v>101</v>
      </c>
      <c r="L214" t="s" s="1">
        <v>173</v>
      </c>
      <c r="M214" t="n" s="7">
        <v>49728.68</v>
      </c>
      <c r="N214" t="n" s="6">
        <v>45369.0</v>
      </c>
      <c r="O214" t="n" s="6">
        <v>45657.0</v>
      </c>
      <c r="P214" t="s" s="1">
        <v>2009</v>
      </c>
    </row>
    <row r="215" spans="1:16">
      <c r="A215" t="n" s="4">
        <v>211</v>
      </c>
      <c r="B215" s="2">
        <f>HYPERLINK("https://my.zakupivli.pro/remote/dispatcher/state_purchase_view/50392754", "UA-2024-04-12-006924-a")</f>
        <v/>
      </c>
      <c r="C215" t="s" s="2">
        <v>1795</v>
      </c>
      <c r="D215" s="2">
        <f>HYPERLINK("https://my.zakupivli.pro/remote/dispatcher/state_contracting_view/19780405", "UA-2024-04-12-006924-a-c1")</f>
        <v/>
      </c>
      <c r="E215" t="s" s="1">
        <v>1522</v>
      </c>
      <c r="F215" t="s" s="1">
        <v>568</v>
      </c>
      <c r="G215" t="s" s="1">
        <v>570</v>
      </c>
      <c r="H215" t="s" s="1">
        <v>567</v>
      </c>
      <c r="I215" t="s" s="1">
        <v>1729</v>
      </c>
      <c r="J215" t="s" s="1">
        <v>1815</v>
      </c>
      <c r="K215" t="s" s="1">
        <v>648</v>
      </c>
      <c r="L215" t="s" s="1">
        <v>225</v>
      </c>
      <c r="M215" t="n" s="7">
        <v>46422.0</v>
      </c>
      <c r="N215" t="n" s="6">
        <v>45393.0</v>
      </c>
      <c r="O215" t="n" s="6">
        <v>45657.0</v>
      </c>
      <c r="P215" t="s" s="1">
        <v>2009</v>
      </c>
    </row>
    <row r="216" spans="1:16">
      <c r="A216" t="n" s="4">
        <v>212</v>
      </c>
      <c r="B216" s="2">
        <f>HYPERLINK("https://my.zakupivli.pro/remote/dispatcher/state_purchase_view/51021425", "UA-2024-05-15-007333-a")</f>
        <v/>
      </c>
      <c r="C216" t="s" s="2">
        <v>1795</v>
      </c>
      <c r="D216" s="2">
        <f>HYPERLINK("https://my.zakupivli.pro/remote/dispatcher/state_contracting_view/20308723", "UA-2024-05-15-007333-a-b1")</f>
        <v/>
      </c>
      <c r="E216" t="s" s="1">
        <v>629</v>
      </c>
      <c r="F216" t="s" s="1">
        <v>1324</v>
      </c>
      <c r="G216" t="s" s="1">
        <v>1752</v>
      </c>
      <c r="H216" t="s" s="1">
        <v>1329</v>
      </c>
      <c r="I216" t="s" s="1">
        <v>1729</v>
      </c>
      <c r="J216" t="s" s="1">
        <v>1736</v>
      </c>
      <c r="K216" t="s" s="1">
        <v>204</v>
      </c>
      <c r="L216" t="s" s="1">
        <v>99</v>
      </c>
      <c r="M216" t="n" s="7">
        <v>7670.96</v>
      </c>
      <c r="N216" t="n" s="6">
        <v>45427.0</v>
      </c>
      <c r="O216" t="n" s="6">
        <v>45657.0</v>
      </c>
      <c r="P216" t="s" s="1">
        <v>2009</v>
      </c>
    </row>
    <row r="217" spans="1:16">
      <c r="A217" t="n" s="4">
        <v>213</v>
      </c>
      <c r="B217" s="2">
        <f>HYPERLINK("https://my.zakupivli.pro/remote/dispatcher/state_purchase_view/51537979", "UA-2024-06-11-000336-a")</f>
        <v/>
      </c>
      <c r="C217" t="s" s="2">
        <v>1795</v>
      </c>
      <c r="D217" s="2">
        <f>HYPERLINK("https://my.zakupivli.pro/remote/dispatcher/state_contracting_view/20689708", "UA-2024-06-11-000336-a-c1")</f>
        <v/>
      </c>
      <c r="E217" t="s" s="1">
        <v>798</v>
      </c>
      <c r="F217" t="s" s="1">
        <v>10</v>
      </c>
      <c r="G217" t="s" s="1">
        <v>2063</v>
      </c>
      <c r="H217" t="s" s="1">
        <v>1031</v>
      </c>
      <c r="I217" t="s" s="1">
        <v>1729</v>
      </c>
      <c r="J217" t="s" s="1">
        <v>1816</v>
      </c>
      <c r="K217" t="s" s="1">
        <v>1027</v>
      </c>
      <c r="L217" t="s" s="1">
        <v>431</v>
      </c>
      <c r="M217" t="n" s="7">
        <v>198285.55</v>
      </c>
      <c r="N217" t="n" s="6">
        <v>45450.0</v>
      </c>
      <c r="O217" t="n" s="6">
        <v>45657.0</v>
      </c>
      <c r="P217" t="s" s="1">
        <v>2009</v>
      </c>
    </row>
    <row r="218" spans="1:16">
      <c r="A218" t="n" s="4">
        <v>214</v>
      </c>
      <c r="B218" s="2">
        <f>HYPERLINK("https://my.zakupivli.pro/remote/dispatcher/state_purchase_view/48259712", "UA-2024-01-10-005592-a")</f>
        <v/>
      </c>
      <c r="C218" t="s" s="2">
        <v>1795</v>
      </c>
      <c r="D218" s="2">
        <f>HYPERLINK("https://my.zakupivli.pro/remote/dispatcher/state_contracting_view/18867220", "UA-2024-01-10-005592-a-a1")</f>
        <v/>
      </c>
      <c r="E218" t="s" s="1">
        <v>391</v>
      </c>
      <c r="F218" t="s" s="1">
        <v>1009</v>
      </c>
      <c r="G218" t="s" s="1">
        <v>1014</v>
      </c>
      <c r="H218" t="s" s="1">
        <v>1013</v>
      </c>
      <c r="I218" t="s" s="1">
        <v>1729</v>
      </c>
      <c r="J218" t="s" s="1">
        <v>1917</v>
      </c>
      <c r="K218" t="s" s="1">
        <v>546</v>
      </c>
      <c r="L218" t="s" s="1">
        <v>367</v>
      </c>
      <c r="M218" t="n" s="7">
        <v>9465.55</v>
      </c>
      <c r="N218" t="n" s="6">
        <v>45300.0</v>
      </c>
      <c r="O218" t="n" s="6">
        <v>45657.0</v>
      </c>
      <c r="P218" t="s" s="1">
        <v>2009</v>
      </c>
    </row>
    <row r="219" spans="1:16">
      <c r="A219" t="n" s="4">
        <v>215</v>
      </c>
      <c r="B219" s="2">
        <f>HYPERLINK("https://my.zakupivli.pro/remote/dispatcher/state_purchase_view/48319420", "UA-2024-01-12-007866-a")</f>
        <v/>
      </c>
      <c r="C219" t="s" s="2">
        <v>1795</v>
      </c>
      <c r="D219" s="2">
        <f>HYPERLINK("https://my.zakupivli.pro/remote/dispatcher/state_contracting_view/18890499", "UA-2024-01-12-007866-a-b1")</f>
        <v/>
      </c>
      <c r="E219" t="s" s="1">
        <v>227</v>
      </c>
      <c r="F219" t="s" s="1">
        <v>1455</v>
      </c>
      <c r="G219" t="s" s="1">
        <v>1461</v>
      </c>
      <c r="H219" t="s" s="1">
        <v>1459</v>
      </c>
      <c r="I219" t="s" s="1">
        <v>1729</v>
      </c>
      <c r="J219" t="s" s="1">
        <v>1737</v>
      </c>
      <c r="K219" t="s" s="1">
        <v>545</v>
      </c>
      <c r="L219" t="s" s="1">
        <v>1759</v>
      </c>
      <c r="M219" t="n" s="7">
        <v>70000.0</v>
      </c>
      <c r="N219" t="n" s="6">
        <v>45301.0</v>
      </c>
      <c r="O219" t="n" s="6">
        <v>45657.0</v>
      </c>
      <c r="P219" t="s" s="1">
        <v>2009</v>
      </c>
    </row>
    <row r="220" spans="1:16">
      <c r="A220" t="n" s="4">
        <v>216</v>
      </c>
      <c r="B220" s="2">
        <f>HYPERLINK("https://my.zakupivli.pro/remote/dispatcher/state_purchase_view/48323025", "UA-2024-01-12-009356-a")</f>
        <v/>
      </c>
      <c r="C220" t="s" s="2">
        <v>1795</v>
      </c>
      <c r="D220" s="2">
        <f>HYPERLINK("https://my.zakupivli.pro/remote/dispatcher/state_contracting_view/18891840", "UA-2024-01-12-009356-a-c1")</f>
        <v/>
      </c>
      <c r="E220" t="s" s="1">
        <v>1399</v>
      </c>
      <c r="F220" t="s" s="1">
        <v>190</v>
      </c>
      <c r="G220" t="s" s="1">
        <v>192</v>
      </c>
      <c r="H220" t="s" s="1">
        <v>191</v>
      </c>
      <c r="I220" t="s" s="1">
        <v>1729</v>
      </c>
      <c r="J220" t="s" s="1">
        <v>1877</v>
      </c>
      <c r="K220" t="s" s="1">
        <v>344</v>
      </c>
      <c r="L220" t="s" s="1">
        <v>292</v>
      </c>
      <c r="M220" t="n" s="7">
        <v>49950.0</v>
      </c>
      <c r="N220" t="n" s="6">
        <v>45302.0</v>
      </c>
      <c r="O220" t="n" s="6">
        <v>45657.0</v>
      </c>
      <c r="P220" t="s" s="1">
        <v>2009</v>
      </c>
    </row>
    <row r="221" spans="1:16">
      <c r="A221" t="n" s="4">
        <v>217</v>
      </c>
      <c r="B221" s="2">
        <f>HYPERLINK("https://my.zakupivli.pro/remote/dispatcher/state_purchase_view/49934798", "UA-2024-03-21-001745-a")</f>
        <v/>
      </c>
      <c r="C221" t="s" s="2">
        <v>1795</v>
      </c>
      <c r="D221" s="2">
        <f>HYPERLINK("https://my.zakupivli.pro/remote/dispatcher/state_contracting_view/19579795", "UA-2024-03-21-001745-a-c1")</f>
        <v/>
      </c>
      <c r="E221" t="s" s="1">
        <v>1436</v>
      </c>
      <c r="F221" t="s" s="1">
        <v>583</v>
      </c>
      <c r="G221" t="s" s="1">
        <v>588</v>
      </c>
      <c r="H221" t="s" s="1">
        <v>587</v>
      </c>
      <c r="I221" t="s" s="1">
        <v>1729</v>
      </c>
      <c r="J221" t="s" s="1">
        <v>1986</v>
      </c>
      <c r="K221" t="s" s="1">
        <v>533</v>
      </c>
      <c r="L221" t="s" s="1">
        <v>155</v>
      </c>
      <c r="M221" t="n" s="7">
        <v>16500.0</v>
      </c>
      <c r="N221" t="n" s="6">
        <v>45370.0</v>
      </c>
      <c r="O221" t="n" s="6">
        <v>45657.0</v>
      </c>
      <c r="P221" t="s" s="1">
        <v>2009</v>
      </c>
    </row>
    <row r="222" spans="1:16">
      <c r="A222" t="n" s="4">
        <v>218</v>
      </c>
      <c r="B222" s="2">
        <f>HYPERLINK("https://my.zakupivli.pro/remote/dispatcher/state_purchase_view/48989888", "UA-2024-02-07-001081-a")</f>
        <v/>
      </c>
      <c r="C222" t="s" s="2">
        <v>1795</v>
      </c>
      <c r="D222" s="2">
        <f>HYPERLINK("https://my.zakupivli.pro/remote/dispatcher/state_contracting_view/19174550", "UA-2024-02-07-001081-a-b1")</f>
        <v/>
      </c>
      <c r="E222" t="s" s="1">
        <v>1288</v>
      </c>
      <c r="F222" t="s" s="1">
        <v>787</v>
      </c>
      <c r="G222" t="s" s="1">
        <v>792</v>
      </c>
      <c r="H222" t="s" s="1">
        <v>791</v>
      </c>
      <c r="I222" t="s" s="1">
        <v>1729</v>
      </c>
      <c r="J222" t="s" s="1">
        <v>1689</v>
      </c>
      <c r="K222" t="s" s="1">
        <v>349</v>
      </c>
      <c r="L222" t="s" s="1">
        <v>1452</v>
      </c>
      <c r="M222" t="n" s="7">
        <v>5580.0</v>
      </c>
      <c r="N222" t="n" s="6">
        <v>45328.0</v>
      </c>
      <c r="O222" t="n" s="6">
        <v>45657.0</v>
      </c>
      <c r="P222" t="s" s="1">
        <v>2009</v>
      </c>
    </row>
    <row r="223" spans="1:16">
      <c r="A223" t="n" s="4">
        <v>219</v>
      </c>
      <c r="B223" s="2">
        <f>HYPERLINK("https://my.zakupivli.pro/remote/dispatcher/state_purchase_view/54809055", "UA-2024-11-14-009029-a")</f>
        <v/>
      </c>
      <c r="C223" t="s" s="2">
        <v>1795</v>
      </c>
      <c r="D223" s="2">
        <f>HYPERLINK("https://my.zakupivli.pro/remote/dispatcher/state_contracting_view/22101377", "UA-2024-11-14-009029-a-c1")</f>
        <v/>
      </c>
      <c r="E223" t="s" s="1">
        <v>1611</v>
      </c>
      <c r="F223" t="s" s="1">
        <v>1340</v>
      </c>
      <c r="G223" t="s" s="1">
        <v>2025</v>
      </c>
      <c r="H223" t="s" s="1">
        <v>1343</v>
      </c>
      <c r="I223" t="s" s="1">
        <v>1729</v>
      </c>
      <c r="J223" t="s" s="1">
        <v>1711</v>
      </c>
      <c r="K223" t="s" s="1">
        <v>33</v>
      </c>
      <c r="L223" t="s" s="1">
        <v>1773</v>
      </c>
      <c r="M223" t="n" s="7">
        <v>295.63</v>
      </c>
      <c r="N223" t="n" s="6">
        <v>45609.0</v>
      </c>
      <c r="O223" t="n" s="6">
        <v>45657.0</v>
      </c>
      <c r="P223" t="s" s="1">
        <v>2009</v>
      </c>
    </row>
    <row r="224" spans="1:16">
      <c r="A224" t="n" s="4">
        <v>220</v>
      </c>
      <c r="B224" s="2">
        <f>HYPERLINK("https://my.zakupivli.pro/remote/dispatcher/state_purchase_view/53627787", "UA-2024-09-27-002536-a")</f>
        <v/>
      </c>
      <c r="C224" t="s" s="2">
        <v>1795</v>
      </c>
      <c r="D224" s="2">
        <f>HYPERLINK("https://my.zakupivli.pro/remote/dispatcher/state_contracting_view/21592614", "UA-2024-09-27-002536-a-c1")</f>
        <v/>
      </c>
      <c r="E224" t="s" s="1">
        <v>31</v>
      </c>
      <c r="F224" t="s" s="1">
        <v>1088</v>
      </c>
      <c r="G224" t="s" s="1">
        <v>1091</v>
      </c>
      <c r="H224" t="s" s="1">
        <v>1090</v>
      </c>
      <c r="I224" t="s" s="1">
        <v>1729</v>
      </c>
      <c r="J224" t="s" s="1">
        <v>1807</v>
      </c>
      <c r="K224" t="s" s="1">
        <v>994</v>
      </c>
      <c r="L224" t="s" s="1">
        <v>1081</v>
      </c>
      <c r="M224" t="n" s="4">
        <v>49850</v>
      </c>
      <c r="N224" t="n" s="6">
        <v>45561.0</v>
      </c>
      <c r="O224" t="n" s="6">
        <v>45657.0</v>
      </c>
      <c r="P224" t="s" s="1">
        <v>2009</v>
      </c>
    </row>
    <row r="225" spans="1:16">
      <c r="A225" t="n" s="4">
        <v>221</v>
      </c>
      <c r="B225" s="2">
        <f>HYPERLINK("https://my.zakupivli.pro/remote/dispatcher/state_purchase_view/53607193", "UA-2024-09-26-007420-a")</f>
        <v/>
      </c>
      <c r="C225" t="s" s="2">
        <v>1795</v>
      </c>
      <c r="D225" s="2">
        <f>HYPERLINK("https://my.zakupivli.pro/remote/dispatcher/state_contracting_view/21583607", "UA-2024-09-26-007420-a-b1")</f>
        <v/>
      </c>
      <c r="E225" t="s" s="1">
        <v>1567</v>
      </c>
      <c r="F225" t="s" s="1">
        <v>700</v>
      </c>
      <c r="G225" t="s" s="1">
        <v>2048</v>
      </c>
      <c r="H225" t="s" s="1">
        <v>701</v>
      </c>
      <c r="I225" t="s" s="1">
        <v>1729</v>
      </c>
      <c r="J225" t="s" s="1">
        <v>1929</v>
      </c>
      <c r="K225" t="s" s="1">
        <v>316</v>
      </c>
      <c r="L225" t="s" s="1">
        <v>1078</v>
      </c>
      <c r="M225" t="n" s="7">
        <v>11011.02</v>
      </c>
      <c r="N225" t="n" s="6">
        <v>45560.0</v>
      </c>
      <c r="O225" t="n" s="6">
        <v>45657.0</v>
      </c>
      <c r="P225" t="s" s="1">
        <v>2009</v>
      </c>
    </row>
    <row r="226" spans="1:16">
      <c r="A226" t="n" s="4">
        <v>222</v>
      </c>
      <c r="B226" s="2">
        <f>HYPERLINK("https://my.zakupivli.pro/remote/dispatcher/state_purchase_view/53460062", "UA-2024-09-20-002392-a")</f>
        <v/>
      </c>
      <c r="C226" t="s" s="2">
        <v>1795</v>
      </c>
      <c r="D226" s="2">
        <f>HYPERLINK("https://my.zakupivli.pro/remote/dispatcher/state_contracting_view/21520687", "UA-2024-09-20-002392-a-b1")</f>
        <v/>
      </c>
      <c r="E226" t="s" s="1">
        <v>1635</v>
      </c>
      <c r="F226" t="s" s="1">
        <v>762</v>
      </c>
      <c r="G226" t="s" s="1">
        <v>762</v>
      </c>
      <c r="H226" t="s" s="1">
        <v>760</v>
      </c>
      <c r="I226" t="s" s="1">
        <v>1729</v>
      </c>
      <c r="J226" t="s" s="1">
        <v>1815</v>
      </c>
      <c r="K226" t="s" s="1">
        <v>648</v>
      </c>
      <c r="L226" t="s" s="1">
        <v>1073</v>
      </c>
      <c r="M226" t="n" s="4">
        <v>5544</v>
      </c>
      <c r="N226" t="n" s="6">
        <v>45555.0</v>
      </c>
      <c r="O226" t="n" s="6">
        <v>45657.0</v>
      </c>
      <c r="P226" t="s" s="1">
        <v>2009</v>
      </c>
    </row>
    <row r="227" spans="1:16">
      <c r="A227" t="n" s="4">
        <v>223</v>
      </c>
      <c r="B227" s="2">
        <f>HYPERLINK("https://my.zakupivli.pro/remote/dispatcher/state_purchase_view/51051178", "UA-2024-05-16-007220-a")</f>
        <v/>
      </c>
      <c r="C227" t="s" s="2">
        <v>1795</v>
      </c>
      <c r="D227" s="2">
        <f>HYPERLINK("https://my.zakupivli.pro/remote/dispatcher/state_contracting_view/20321438", "UA-2024-05-16-007220-a-b1")</f>
        <v/>
      </c>
      <c r="E227" t="s" s="1">
        <v>1376</v>
      </c>
      <c r="F227" t="s" s="1">
        <v>698</v>
      </c>
      <c r="G227" t="s" s="1">
        <v>2088</v>
      </c>
      <c r="H227" t="s" s="1">
        <v>703</v>
      </c>
      <c r="I227" t="s" s="1">
        <v>1729</v>
      </c>
      <c r="J227" t="s" s="1">
        <v>1907</v>
      </c>
      <c r="K227" t="s" s="1">
        <v>913</v>
      </c>
      <c r="L227" t="s" s="1">
        <v>361</v>
      </c>
      <c r="M227" t="n" s="4">
        <v>49998</v>
      </c>
      <c r="N227" t="n" s="6">
        <v>45428.0</v>
      </c>
      <c r="O227" t="n" s="6">
        <v>45657.0</v>
      </c>
      <c r="P227" t="s" s="1">
        <v>2009</v>
      </c>
    </row>
    <row r="228" spans="1:16">
      <c r="A228" t="n" s="4">
        <v>224</v>
      </c>
      <c r="B228" s="2">
        <f>HYPERLINK("https://my.zakupivli.pro/remote/dispatcher/state_purchase_view/51577453", "UA-2024-06-12-004629-a")</f>
        <v/>
      </c>
      <c r="C228" t="s" s="2">
        <v>1795</v>
      </c>
      <c r="D228" s="2">
        <f>HYPERLINK("https://my.zakupivli.pro/remote/dispatcher/state_contracting_view/20706852", "UA-2024-06-12-004629-a-b1")</f>
        <v/>
      </c>
      <c r="E228" t="s" s="1">
        <v>677</v>
      </c>
      <c r="F228" t="s" s="1">
        <v>1102</v>
      </c>
      <c r="G228" t="s" s="1">
        <v>2078</v>
      </c>
      <c r="H228" t="s" s="1">
        <v>1103</v>
      </c>
      <c r="I228" t="s" s="1">
        <v>1729</v>
      </c>
      <c r="J228" t="s" s="1">
        <v>1957</v>
      </c>
      <c r="K228" t="s" s="1">
        <v>256</v>
      </c>
      <c r="L228" t="s" s="1">
        <v>1713</v>
      </c>
      <c r="M228" t="n" s="4">
        <v>24000</v>
      </c>
      <c r="N228" t="n" s="6">
        <v>45455.0</v>
      </c>
      <c r="O228" t="n" s="6">
        <v>45657.0</v>
      </c>
      <c r="P228" t="s" s="1">
        <v>2009</v>
      </c>
    </row>
    <row r="229" spans="1:16">
      <c r="A229" t="n" s="4">
        <v>225</v>
      </c>
      <c r="B229" s="2">
        <f>HYPERLINK("https://my.zakupivli.pro/remote/dispatcher/state_purchase_view/52862400", "UA-2024-08-22-007632-a")</f>
        <v/>
      </c>
      <c r="C229" t="s" s="2">
        <v>1795</v>
      </c>
      <c r="D229" s="2">
        <f>HYPERLINK("https://my.zakupivli.pro/remote/dispatcher/state_contracting_view/21266000", "UA-2024-08-22-007632-a-c1")</f>
        <v/>
      </c>
      <c r="E229" t="s" s="1">
        <v>1589</v>
      </c>
      <c r="F229" t="s" s="1">
        <v>492</v>
      </c>
      <c r="G229" t="s" s="1">
        <v>494</v>
      </c>
      <c r="H229" t="s" s="1">
        <v>495</v>
      </c>
      <c r="I229" t="s" s="1">
        <v>1729</v>
      </c>
      <c r="J229" t="s" s="1">
        <v>1765</v>
      </c>
      <c r="K229" t="s" s="1">
        <v>550</v>
      </c>
      <c r="L229" t="s" s="1">
        <v>758</v>
      </c>
      <c r="M229" t="n" s="7">
        <v>49430.0</v>
      </c>
      <c r="N229" t="n" s="6">
        <v>45525.0</v>
      </c>
      <c r="O229" t="n" s="6">
        <v>45657.0</v>
      </c>
      <c r="P229" t="s" s="1">
        <v>2009</v>
      </c>
    </row>
    <row r="230" spans="1:16">
      <c r="A230" t="n" s="4">
        <v>226</v>
      </c>
      <c r="B230" s="2">
        <f>HYPERLINK("https://my.zakupivli.pro/remote/dispatcher/state_purchase_view/52365354", "UA-2024-07-26-001856-a")</f>
        <v/>
      </c>
      <c r="C230" t="s" s="2">
        <v>1795</v>
      </c>
      <c r="D230" s="2">
        <f>HYPERLINK("https://my.zakupivli.pro/remote/dispatcher/state_contracting_view/21050845", "UA-2024-07-26-001856-a-b1")</f>
        <v/>
      </c>
      <c r="E230" t="s" s="1">
        <v>1393</v>
      </c>
      <c r="F230" t="s" s="1">
        <v>973</v>
      </c>
      <c r="G230" t="s" s="1">
        <v>2086</v>
      </c>
      <c r="H230" t="s" s="1">
        <v>974</v>
      </c>
      <c r="I230" t="s" s="1">
        <v>1729</v>
      </c>
      <c r="J230" t="s" s="1">
        <v>1902</v>
      </c>
      <c r="K230" t="s" s="1">
        <v>891</v>
      </c>
      <c r="L230" t="s" s="1">
        <v>665</v>
      </c>
      <c r="M230" t="n" s="7">
        <v>10505.59</v>
      </c>
      <c r="N230" t="n" s="6">
        <v>45499.0</v>
      </c>
      <c r="O230" t="n" s="6">
        <v>45657.0</v>
      </c>
      <c r="P230" t="s" s="1">
        <v>2009</v>
      </c>
    </row>
    <row r="231" spans="1:16">
      <c r="A231" t="n" s="4">
        <v>227</v>
      </c>
      <c r="B231" s="2">
        <f>HYPERLINK("https://my.zakupivli.pro/remote/dispatcher/state_purchase_view/54215320", "UA-2024-10-23-002642-a")</f>
        <v/>
      </c>
      <c r="C231" t="s" s="2">
        <v>1795</v>
      </c>
      <c r="D231" s="2">
        <f>HYPERLINK("https://my.zakupivli.pro/remote/dispatcher/state_contracting_view/21845422", "UA-2024-10-23-002642-a-a1")</f>
        <v/>
      </c>
      <c r="E231" t="s" s="1">
        <v>1619</v>
      </c>
      <c r="F231" t="s" s="1">
        <v>1209</v>
      </c>
      <c r="G231" t="s" s="1">
        <v>1211</v>
      </c>
      <c r="H231" t="s" s="1">
        <v>1210</v>
      </c>
      <c r="I231" t="s" s="1">
        <v>1729</v>
      </c>
      <c r="J231" t="s" s="1">
        <v>1904</v>
      </c>
      <c r="K231" t="s" s="1">
        <v>836</v>
      </c>
      <c r="L231" t="s" s="1">
        <v>150</v>
      </c>
      <c r="M231" t="n" s="4">
        <v>16500</v>
      </c>
      <c r="N231" t="n" s="6">
        <v>45587.0</v>
      </c>
      <c r="O231" t="n" s="6">
        <v>45657.0</v>
      </c>
      <c r="P231" t="s" s="1">
        <v>2009</v>
      </c>
    </row>
    <row r="232" spans="1:16">
      <c r="A232" t="n" s="4">
        <v>228</v>
      </c>
      <c r="B232" s="2">
        <f>HYPERLINK("https://my.zakupivli.pro/remote/dispatcher/state_purchase_view/52890380", "UA-2024-08-23-007347-a")</f>
        <v/>
      </c>
      <c r="C232" t="s" s="2">
        <v>1795</v>
      </c>
      <c r="D232" s="2">
        <f>HYPERLINK("https://my.zakupivli.pro/remote/dispatcher/state_contracting_view/21278132", "UA-2024-08-23-007347-a-a1")</f>
        <v/>
      </c>
      <c r="E232" t="s" s="1">
        <v>1555</v>
      </c>
      <c r="F232" t="s" s="1">
        <v>713</v>
      </c>
      <c r="G232" t="s" s="1">
        <v>2029</v>
      </c>
      <c r="H232" t="s" s="1">
        <v>715</v>
      </c>
      <c r="I232" t="s" s="1">
        <v>1729</v>
      </c>
      <c r="J232" t="s" s="1">
        <v>1899</v>
      </c>
      <c r="K232" t="s" s="1">
        <v>653</v>
      </c>
      <c r="L232" t="s" s="1">
        <v>812</v>
      </c>
      <c r="M232" t="n" s="7">
        <v>12301.2</v>
      </c>
      <c r="N232" t="n" s="6">
        <v>45527.0</v>
      </c>
      <c r="O232" t="n" s="6">
        <v>45657.0</v>
      </c>
      <c r="P232" t="s" s="1">
        <v>2009</v>
      </c>
    </row>
    <row r="233" spans="1:16">
      <c r="A233" t="n" s="4">
        <v>229</v>
      </c>
      <c r="B233" s="2">
        <f>HYPERLINK("https://my.zakupivli.pro/remote/dispatcher/state_purchase_view/54085746", "UA-2024-10-17-010620-a")</f>
        <v/>
      </c>
      <c r="C233" t="s" s="2">
        <v>1795</v>
      </c>
      <c r="D233" s="2">
        <f>HYPERLINK("https://my.zakupivli.pro/remote/dispatcher/state_contracting_view/21789741", "UA-2024-10-17-010620-a-c1")</f>
        <v/>
      </c>
      <c r="E233" t="s" s="1">
        <v>911</v>
      </c>
      <c r="F233" t="s" s="1">
        <v>1415</v>
      </c>
      <c r="G233" t="s" s="1">
        <v>1415</v>
      </c>
      <c r="H233" t="s" s="1">
        <v>1414</v>
      </c>
      <c r="I233" t="s" s="1">
        <v>1729</v>
      </c>
      <c r="J233" t="s" s="1">
        <v>1925</v>
      </c>
      <c r="K233" t="s" s="1">
        <v>829</v>
      </c>
      <c r="L233" t="s" s="1">
        <v>1787</v>
      </c>
      <c r="M233" t="n" s="4">
        <v>35880</v>
      </c>
      <c r="N233" t="n" s="6">
        <v>45582.0</v>
      </c>
      <c r="O233" t="n" s="6">
        <v>45657.0</v>
      </c>
      <c r="P233" t="s" s="1">
        <v>2009</v>
      </c>
    </row>
    <row r="234" spans="1:16">
      <c r="A234" t="n" s="4">
        <v>230</v>
      </c>
      <c r="B234" s="2">
        <f>HYPERLINK("https://my.zakupivli.pro/remote/dispatcher/state_purchase_view/52340520", "UA-2024-07-25-002070-a")</f>
        <v/>
      </c>
      <c r="C234" s="2">
        <f>HYPERLINK("https://my.zakupivli.pro/remote/dispatcher/state_purchase_lot_view/1345179", "UA-2024-07-25-002070-a-L1345179")</f>
        <v/>
      </c>
      <c r="D234" s="2">
        <f>HYPERLINK("https://my.zakupivli.pro/remote/dispatcher/state_contracting_view/21172259", "UA-2024-07-25-002070-a-a1")</f>
        <v/>
      </c>
      <c r="E234" t="s" s="1">
        <v>1542</v>
      </c>
      <c r="F234" t="s" s="1">
        <v>603</v>
      </c>
      <c r="G234" t="s" s="1">
        <v>1701</v>
      </c>
      <c r="H234" t="s" s="1">
        <v>608</v>
      </c>
      <c r="I234" t="s" s="1">
        <v>1697</v>
      </c>
      <c r="J234" t="s" s="1">
        <v>1893</v>
      </c>
      <c r="K234" t="s" s="1">
        <v>783</v>
      </c>
      <c r="L234" t="s" s="1">
        <v>816</v>
      </c>
      <c r="M234" t="n" s="7">
        <v>5605200.0</v>
      </c>
      <c r="N234" t="n" s="6">
        <v>45530.0</v>
      </c>
      <c r="O234" t="n" s="6">
        <v>45657.0</v>
      </c>
      <c r="P234" t="s" s="1">
        <v>2036</v>
      </c>
    </row>
    <row r="235" spans="1:16">
      <c r="A235" t="n" s="4">
        <v>231</v>
      </c>
      <c r="B235" s="2">
        <f>HYPERLINK("https://my.zakupivli.pro/remote/dispatcher/state_purchase_view/53296775", "UA-2024-09-13-003426-a")</f>
        <v/>
      </c>
      <c r="C235" s="2">
        <f>HYPERLINK("https://my.zakupivli.pro/remote/dispatcher/state_purchase_lot_view/1389648", "UA-2024-09-13-003426-a-L1389648")</f>
        <v/>
      </c>
      <c r="D235" s="2">
        <f>HYPERLINK("https://my.zakupivli.pro/remote/dispatcher/state_contracting_view/21617982", "UA-2024-09-13-003426-a-a2")</f>
        <v/>
      </c>
      <c r="E235" t="s" s="1">
        <v>1543</v>
      </c>
      <c r="F235" t="s" s="1">
        <v>483</v>
      </c>
      <c r="G235" t="s" s="1">
        <v>1676</v>
      </c>
      <c r="H235" t="s" s="1">
        <v>484</v>
      </c>
      <c r="I235" t="s" s="1">
        <v>1697</v>
      </c>
      <c r="J235" t="s" s="1">
        <v>1980</v>
      </c>
      <c r="K235" t="s" s="1">
        <v>349</v>
      </c>
      <c r="L235" t="s" s="1">
        <v>1124</v>
      </c>
      <c r="M235" t="n" s="7">
        <v>101150.0</v>
      </c>
      <c r="N235" t="n" s="6">
        <v>45573.0</v>
      </c>
      <c r="O235" t="n" s="6">
        <v>45657.0</v>
      </c>
      <c r="P235" t="s" s="1">
        <v>2036</v>
      </c>
    </row>
    <row r="236" spans="1:16">
      <c r="A236" t="n" s="4">
        <v>232</v>
      </c>
      <c r="B236" s="2">
        <f>HYPERLINK("https://my.zakupivli.pro/remote/dispatcher/state_purchase_view/54955817", "UA-2024-11-20-001905-a")</f>
        <v/>
      </c>
      <c r="C236" t="s" s="2">
        <v>1795</v>
      </c>
      <c r="D236" s="2">
        <f>HYPERLINK("https://my.zakupivli.pro/remote/dispatcher/state_contracting_view/22164357", "UA-2024-11-20-001905-a-a1")</f>
        <v/>
      </c>
      <c r="E236" t="s" s="1">
        <v>36</v>
      </c>
      <c r="F236" t="s" s="1">
        <v>209</v>
      </c>
      <c r="G236" t="s" s="1">
        <v>1866</v>
      </c>
      <c r="H236" t="s" s="1">
        <v>206</v>
      </c>
      <c r="I236" t="s" s="1">
        <v>1729</v>
      </c>
      <c r="J236" t="s" s="1">
        <v>1742</v>
      </c>
      <c r="K236" t="s" s="1">
        <v>253</v>
      </c>
      <c r="L236" t="s" s="1">
        <v>1163</v>
      </c>
      <c r="M236" t="n" s="4">
        <v>40360</v>
      </c>
      <c r="N236" t="n" s="6">
        <v>45616.0</v>
      </c>
      <c r="O236" t="n" s="6">
        <v>45657.0</v>
      </c>
      <c r="P236" t="s" s="1">
        <v>2009</v>
      </c>
    </row>
    <row r="237" spans="1:16">
      <c r="A237" t="n" s="4">
        <v>233</v>
      </c>
      <c r="B237" s="2">
        <f>HYPERLINK("https://my.zakupivli.pro/remote/dispatcher/state_purchase_view/51987923", "UA-2024-07-04-003825-a")</f>
        <v/>
      </c>
      <c r="C237" s="2">
        <f>HYPERLINK("https://my.zakupivli.pro/remote/dispatcher/state_purchase_lot_view/1328492", "UA-2024-07-04-003825-a-L1328492")</f>
        <v/>
      </c>
      <c r="D237" s="2">
        <f>HYPERLINK("https://my.zakupivli.pro/remote/dispatcher/state_contracting_view/20982529", "UA-2024-07-04-003825-a-a1")</f>
        <v/>
      </c>
      <c r="E237" t="s" s="1">
        <v>1577</v>
      </c>
      <c r="F237" t="s" s="1">
        <v>730</v>
      </c>
      <c r="G237" t="s" s="1">
        <v>1996</v>
      </c>
      <c r="H237" t="s" s="1">
        <v>731</v>
      </c>
      <c r="I237" t="s" s="1">
        <v>1697</v>
      </c>
      <c r="J237" t="s" s="1">
        <v>1500</v>
      </c>
      <c r="K237" t="s" s="1">
        <v>535</v>
      </c>
      <c r="L237" t="s" s="1">
        <v>669</v>
      </c>
      <c r="M237" t="n" s="7">
        <v>539868.0</v>
      </c>
      <c r="N237" t="n" s="6">
        <v>45499.0</v>
      </c>
      <c r="O237" t="n" s="6">
        <v>45657.0</v>
      </c>
      <c r="P237" t="s" s="1">
        <v>2036</v>
      </c>
    </row>
    <row r="238" spans="1:16">
      <c r="A238" t="n" s="4">
        <v>234</v>
      </c>
      <c r="B238" s="2">
        <f>HYPERLINK("https://my.zakupivli.pro/remote/dispatcher/state_purchase_view/55911832", "UA-2024-12-18-012739-a")</f>
        <v/>
      </c>
      <c r="C238" t="s" s="2">
        <v>1795</v>
      </c>
      <c r="D238" s="2">
        <f>HYPERLINK("https://my.zakupivli.pro/remote/dispatcher/state_contracting_view/22576568", "UA-2024-12-18-012739-a-b1")</f>
        <v/>
      </c>
      <c r="E238" t="s" s="1">
        <v>21</v>
      </c>
      <c r="F238" t="s" s="1">
        <v>278</v>
      </c>
      <c r="G238" t="s" s="1">
        <v>278</v>
      </c>
      <c r="H238" t="s" s="1">
        <v>275</v>
      </c>
      <c r="I238" t="s" s="1">
        <v>1729</v>
      </c>
      <c r="J238" t="s" s="1">
        <v>1937</v>
      </c>
      <c r="K238" t="s" s="1">
        <v>400</v>
      </c>
      <c r="L238" t="s" s="1">
        <v>1215</v>
      </c>
      <c r="M238" t="n" s="7">
        <v>6367.92</v>
      </c>
      <c r="N238" t="n" s="6">
        <v>45644.0</v>
      </c>
      <c r="O238" t="n" s="6">
        <v>45657.0</v>
      </c>
      <c r="P238" t="s" s="1">
        <v>2009</v>
      </c>
    </row>
    <row r="239" spans="1:16">
      <c r="A239" t="n" s="4">
        <v>235</v>
      </c>
      <c r="B239" s="2">
        <f>HYPERLINK("https://my.zakupivli.pro/remote/dispatcher/state_purchase_view/55970014", "UA-2024-12-19-014057-a")</f>
        <v/>
      </c>
      <c r="C239" t="s" s="2">
        <v>1795</v>
      </c>
      <c r="D239" s="2">
        <f>HYPERLINK("https://my.zakupivli.pro/remote/dispatcher/state_contracting_view/22602398", "UA-2024-12-19-014057-a-b1")</f>
        <v/>
      </c>
      <c r="E239" t="s" s="1">
        <v>1400</v>
      </c>
      <c r="F239" t="s" s="1">
        <v>1372</v>
      </c>
      <c r="G239" t="s" s="1">
        <v>1846</v>
      </c>
      <c r="H239" t="s" s="1">
        <v>1373</v>
      </c>
      <c r="I239" t="s" s="1">
        <v>1729</v>
      </c>
      <c r="J239" t="s" s="1">
        <v>1972</v>
      </c>
      <c r="K239" t="s" s="1">
        <v>808</v>
      </c>
      <c r="L239" t="s" s="1">
        <v>354</v>
      </c>
      <c r="M239" t="n" s="7">
        <v>232.58</v>
      </c>
      <c r="N239" t="n" s="6">
        <v>45643.0</v>
      </c>
      <c r="O239" t="n" s="6">
        <v>45657.0</v>
      </c>
      <c r="P239" t="s" s="1">
        <v>2009</v>
      </c>
    </row>
    <row r="240" spans="1:16">
      <c r="A240" t="n" s="4">
        <v>236</v>
      </c>
      <c r="B240" s="2">
        <f>HYPERLINK("https://my.zakupivli.pro/remote/dispatcher/state_purchase_view/51924899", "UA-2024-07-01-006450-a")</f>
        <v/>
      </c>
      <c r="C240" t="s" s="2">
        <v>1795</v>
      </c>
      <c r="D240" s="2">
        <f>HYPERLINK("https://my.zakupivli.pro/remote/dispatcher/state_contracting_view/20858915", "UA-2024-07-01-006450-a-b1")</f>
        <v/>
      </c>
      <c r="E240" t="s" s="1">
        <v>1175</v>
      </c>
      <c r="F240" t="s" s="1">
        <v>886</v>
      </c>
      <c r="G240" t="s" s="1">
        <v>1782</v>
      </c>
      <c r="H240" t="s" s="1">
        <v>883</v>
      </c>
      <c r="I240" t="s" s="1">
        <v>1729</v>
      </c>
      <c r="J240" t="s" s="1">
        <v>1930</v>
      </c>
      <c r="K240" t="s" s="1">
        <v>631</v>
      </c>
      <c r="L240" t="s" s="1">
        <v>566</v>
      </c>
      <c r="M240" t="n" s="7">
        <v>227983.68</v>
      </c>
      <c r="N240" t="n" s="6">
        <v>45471.0</v>
      </c>
      <c r="O240" t="n" s="6">
        <v>45657.0</v>
      </c>
      <c r="P240" t="s" s="1">
        <v>2036</v>
      </c>
    </row>
    <row r="241" spans="1:16">
      <c r="A241" t="n" s="4">
        <v>237</v>
      </c>
      <c r="B241" s="2">
        <f>HYPERLINK("https://my.zakupivli.pro/remote/dispatcher/state_purchase_view/49340470", "UA-2024-02-21-012670-a")</f>
        <v/>
      </c>
      <c r="C241" s="2">
        <f>HYPERLINK("https://my.zakupivli.pro/remote/dispatcher/state_purchase_lot_view/1212695", "UA-2024-02-21-012670-a-L1212695")</f>
        <v/>
      </c>
      <c r="D241" s="2">
        <f>HYPERLINK("https://my.zakupivli.pro/remote/dispatcher/state_contracting_view/19595663", "UA-2024-02-21-012670-a-b1")</f>
        <v/>
      </c>
      <c r="E241" t="s" s="1">
        <v>392</v>
      </c>
      <c r="F241" t="s" s="1">
        <v>486</v>
      </c>
      <c r="G241" t="s" s="1">
        <v>1678</v>
      </c>
      <c r="H241" t="s" s="1">
        <v>485</v>
      </c>
      <c r="I241" t="s" s="1">
        <v>1697</v>
      </c>
      <c r="J241" t="s" s="1">
        <v>1806</v>
      </c>
      <c r="K241" t="s" s="1">
        <v>644</v>
      </c>
      <c r="L241" t="s" s="1">
        <v>162</v>
      </c>
      <c r="M241" t="n" s="7">
        <v>160560.0</v>
      </c>
      <c r="N241" t="n" s="6">
        <v>45373.0</v>
      </c>
      <c r="O241" t="n" s="6">
        <v>45657.0</v>
      </c>
      <c r="P241" t="s" s="1">
        <v>2036</v>
      </c>
    </row>
    <row r="242" spans="1:16">
      <c r="A242" t="n" s="4">
        <v>238</v>
      </c>
      <c r="B242" s="2">
        <f>HYPERLINK("https://my.zakupivli.pro/remote/dispatcher/state_purchase_view/49387298", "UA-2024-02-23-004741-a")</f>
        <v/>
      </c>
      <c r="C242" s="2">
        <f>HYPERLINK("https://my.zakupivli.pro/remote/dispatcher/state_purchase_lot_view/1214545", "UA-2024-02-23-004741-a-L1214545")</f>
        <v/>
      </c>
      <c r="D242" s="2">
        <f>HYPERLINK("https://my.zakupivli.pro/remote/dispatcher/state_contracting_view/19556260", "UA-2024-02-23-004741-a-b1")</f>
        <v/>
      </c>
      <c r="E242" t="s" s="1">
        <v>1487</v>
      </c>
      <c r="F242" t="s" s="1">
        <v>44</v>
      </c>
      <c r="G242" t="s" s="1">
        <v>1800</v>
      </c>
      <c r="H242" t="s" s="1">
        <v>45</v>
      </c>
      <c r="I242" t="s" s="1">
        <v>1697</v>
      </c>
      <c r="J242" t="s" s="1">
        <v>1916</v>
      </c>
      <c r="K242" t="s" s="1">
        <v>722</v>
      </c>
      <c r="L242" t="s" s="1">
        <v>151</v>
      </c>
      <c r="M242" t="n" s="7">
        <v>914370.0</v>
      </c>
      <c r="N242" t="n" s="6">
        <v>45369.0</v>
      </c>
      <c r="O242" t="n" s="6">
        <v>45657.0</v>
      </c>
      <c r="P242" t="s" s="1">
        <v>2036</v>
      </c>
    </row>
    <row r="243" spans="1:16">
      <c r="A243" t="n" s="4">
        <v>239</v>
      </c>
      <c r="B243" s="2">
        <f>HYPERLINK("https://my.zakupivli.pro/remote/dispatcher/state_purchase_view/47919556", "UA-2023-12-21-018563-a")</f>
        <v/>
      </c>
      <c r="C243" s="2">
        <f>HYPERLINK("https://my.zakupivli.pro/remote/dispatcher/state_purchase_lot_view/1157968", "UA-2023-12-21-018563-a-L1157968")</f>
        <v/>
      </c>
      <c r="D243" s="2">
        <f>HYPERLINK("https://my.zakupivli.pro/remote/dispatcher/state_contracting_view/18860265", "UA-2023-12-21-018563-a-c1")</f>
        <v/>
      </c>
      <c r="E243" t="s" s="1">
        <v>90</v>
      </c>
      <c r="F243" t="s" s="1">
        <v>1219</v>
      </c>
      <c r="G243" t="s" s="1">
        <v>1224</v>
      </c>
      <c r="H243" t="s" s="1">
        <v>1223</v>
      </c>
      <c r="I243" t="s" s="1">
        <v>1697</v>
      </c>
      <c r="J243" t="s" s="1">
        <v>1848</v>
      </c>
      <c r="K243" t="s" s="1">
        <v>113</v>
      </c>
      <c r="L243" t="s" s="1">
        <v>377</v>
      </c>
      <c r="M243" t="n" s="7">
        <v>282180.0</v>
      </c>
      <c r="N243" t="n" s="6">
        <v>45300.0</v>
      </c>
      <c r="O243" t="n" s="6">
        <v>45657.0</v>
      </c>
      <c r="P243" t="s" s="1">
        <v>2036</v>
      </c>
    </row>
    <row r="244" spans="1:16">
      <c r="A244" t="n" s="4">
        <v>240</v>
      </c>
      <c r="B244" s="2">
        <f>HYPERLINK("https://my.zakupivli.pro/remote/dispatcher/state_purchase_view/50357221", "UA-2024-04-11-004017-a")</f>
        <v/>
      </c>
      <c r="C244" s="2">
        <f>HYPERLINK("https://my.zakupivli.pro/remote/dispatcher/state_purchase_lot_view/1255470", "UA-2024-04-11-004017-a-L1255470")</f>
        <v/>
      </c>
      <c r="D244" s="2">
        <f>HYPERLINK("https://my.zakupivli.pro/remote/dispatcher/state_contracting_view/19919179", "UA-2024-04-11-004017-a-c1")</f>
        <v/>
      </c>
      <c r="E244" t="s" s="1">
        <v>803</v>
      </c>
      <c r="F244" t="s" s="1">
        <v>126</v>
      </c>
      <c r="G244" t="s" s="1">
        <v>1831</v>
      </c>
      <c r="H244" t="s" s="1">
        <v>124</v>
      </c>
      <c r="I244" t="s" s="1">
        <v>1697</v>
      </c>
      <c r="J244" t="s" s="1">
        <v>1966</v>
      </c>
      <c r="K244" t="s" s="1">
        <v>769</v>
      </c>
      <c r="L244" t="s" s="1">
        <v>355</v>
      </c>
      <c r="M244" t="n" s="7">
        <v>159000.0</v>
      </c>
      <c r="N244" t="n" s="6">
        <v>45421.0</v>
      </c>
      <c r="O244" t="n" s="6">
        <v>45657.0</v>
      </c>
      <c r="P244" t="s" s="1">
        <v>2036</v>
      </c>
    </row>
    <row r="245" spans="1:16">
      <c r="A245" t="n" s="4">
        <v>241</v>
      </c>
      <c r="B245" s="2">
        <f>HYPERLINK("https://my.zakupivli.pro/remote/dispatcher/state_purchase_view/48449219", "UA-2024-01-17-017270-a")</f>
        <v/>
      </c>
      <c r="C245" t="s" s="2">
        <v>1795</v>
      </c>
      <c r="D245" s="2">
        <f>HYPERLINK("https://my.zakupivli.pro/remote/dispatcher/state_contracting_view/18942981", "UA-2024-01-17-017270-a-c1")</f>
        <v/>
      </c>
      <c r="E245" t="s" s="1">
        <v>1063</v>
      </c>
      <c r="F245" t="s" s="1">
        <v>1242</v>
      </c>
      <c r="G245" t="s" s="1">
        <v>2077</v>
      </c>
      <c r="H245" t="s" s="1">
        <v>1241</v>
      </c>
      <c r="I245" t="s" s="1">
        <v>1729</v>
      </c>
      <c r="J245" t="s" s="1">
        <v>1669</v>
      </c>
      <c r="K245" t="s" s="1">
        <v>294</v>
      </c>
      <c r="L245" t="s" s="1">
        <v>931</v>
      </c>
      <c r="M245" t="n" s="7">
        <v>829388.0</v>
      </c>
      <c r="N245" t="n" s="6">
        <v>45306.0</v>
      </c>
      <c r="O245" t="n" s="6">
        <v>45657.0</v>
      </c>
      <c r="P245" t="s" s="1">
        <v>2036</v>
      </c>
    </row>
    <row r="246" spans="1:16">
      <c r="A246" t="n" s="4">
        <v>242</v>
      </c>
      <c r="B246" s="2">
        <f>HYPERLINK("https://my.zakupivli.pro/remote/dispatcher/state_purchase_view/53726156", "UA-2024-10-02-009267-a")</f>
        <v/>
      </c>
      <c r="C246" s="2">
        <f>HYPERLINK("https://my.zakupivli.pro/remote/dispatcher/state_purchase_lot_view/1410215", "UA-2024-10-02-009267-a-L1410215")</f>
        <v/>
      </c>
      <c r="D246" s="2">
        <f>HYPERLINK("https://my.zakupivli.pro/remote/dispatcher/state_contracting_view/22173949", "UA-2024-10-02-009267-a-a2")</f>
        <v/>
      </c>
      <c r="E246" t="s" s="1">
        <v>1587</v>
      </c>
      <c r="F246" t="s" s="1">
        <v>620</v>
      </c>
      <c r="G246" t="s" s="1">
        <v>1857</v>
      </c>
      <c r="H246" t="s" s="1">
        <v>622</v>
      </c>
      <c r="I246" t="s" s="1">
        <v>1697</v>
      </c>
      <c r="J246" t="s" s="1">
        <v>1947</v>
      </c>
      <c r="K246" t="s" s="1">
        <v>892</v>
      </c>
      <c r="L246" t="s" s="1">
        <v>1192</v>
      </c>
      <c r="M246" t="n" s="7">
        <v>2809968.0</v>
      </c>
      <c r="N246" t="n" s="6">
        <v>45625.0</v>
      </c>
      <c r="O246" t="n" s="6">
        <v>45657.0</v>
      </c>
      <c r="P246" t="s" s="1">
        <v>2036</v>
      </c>
    </row>
    <row r="247" spans="1:16">
      <c r="A247" t="n" s="4">
        <v>243</v>
      </c>
      <c r="B247" s="2">
        <f>HYPERLINK("https://my.zakupivli.pro/remote/dispatcher/state_purchase_view/48181519", "UA-2024-01-04-004259-a")</f>
        <v/>
      </c>
      <c r="C247" t="s" s="2">
        <v>1795</v>
      </c>
      <c r="D247" s="2">
        <f>HYPERLINK("https://my.zakupivli.pro/remote/dispatcher/state_contracting_view/18835599", "UA-2024-01-04-004259-a-c1")</f>
        <v/>
      </c>
      <c r="E247" t="s" s="1">
        <v>1540</v>
      </c>
      <c r="F247" t="s" s="1">
        <v>1251</v>
      </c>
      <c r="G247" t="s" s="1">
        <v>1252</v>
      </c>
      <c r="H247" t="s" s="1">
        <v>1250</v>
      </c>
      <c r="I247" t="s" s="1">
        <v>1729</v>
      </c>
      <c r="J247" t="s" s="1">
        <v>1830</v>
      </c>
      <c r="K247" t="s" s="1">
        <v>661</v>
      </c>
      <c r="L247" t="s" s="1">
        <v>24</v>
      </c>
      <c r="M247" t="n" s="7">
        <v>96000.0</v>
      </c>
      <c r="N247" t="n" s="6">
        <v>45294.0</v>
      </c>
      <c r="O247" t="n" s="6">
        <v>45657.0</v>
      </c>
      <c r="P247" t="s" s="1">
        <v>2009</v>
      </c>
    </row>
    <row r="248" spans="1:16">
      <c r="A248" t="n" s="4">
        <v>244</v>
      </c>
      <c r="B248" s="2">
        <f>HYPERLINK("https://my.zakupivli.pro/remote/dispatcher/state_purchase_view/48179374", "UA-2024-01-04-003327-a")</f>
        <v/>
      </c>
      <c r="C248" t="s" s="2">
        <v>1795</v>
      </c>
      <c r="D248" s="2">
        <f>HYPERLINK("https://my.zakupivli.pro/remote/dispatcher/state_contracting_view/18834651", "UA-2024-01-04-003327-a-b1")</f>
        <v/>
      </c>
      <c r="E248" t="s" s="1">
        <v>1646</v>
      </c>
      <c r="F248" t="s" s="1">
        <v>283</v>
      </c>
      <c r="G248" t="s" s="1">
        <v>283</v>
      </c>
      <c r="H248" t="s" s="1">
        <v>279</v>
      </c>
      <c r="I248" t="s" s="1">
        <v>1729</v>
      </c>
      <c r="J248" t="s" s="1">
        <v>1783</v>
      </c>
      <c r="K248" t="s" s="1">
        <v>375</v>
      </c>
      <c r="L248" t="s" s="1">
        <v>60</v>
      </c>
      <c r="M248" t="n" s="7">
        <v>15440.0</v>
      </c>
      <c r="N248" t="n" s="6">
        <v>45294.0</v>
      </c>
      <c r="O248" t="n" s="6">
        <v>45657.0</v>
      </c>
      <c r="P248" t="s" s="1">
        <v>2009</v>
      </c>
    </row>
    <row r="249" spans="1:16">
      <c r="A249" t="n" s="4">
        <v>245</v>
      </c>
      <c r="B249" s="2">
        <f>HYPERLINK("https://my.zakupivli.pro/remote/dispatcher/state_purchase_view/48158382", "UA-2024-01-03-001023-a")</f>
        <v/>
      </c>
      <c r="C249" t="s" s="2">
        <v>1795</v>
      </c>
      <c r="D249" s="2">
        <f>HYPERLINK("https://my.zakupivli.pro/remote/dispatcher/state_contracting_view/18825775", "UA-2024-01-03-001023-a-a1")</f>
        <v/>
      </c>
      <c r="E249" t="s" s="1">
        <v>1639</v>
      </c>
      <c r="F249" t="s" s="1">
        <v>491</v>
      </c>
      <c r="G249" t="s" s="1">
        <v>493</v>
      </c>
      <c r="H249" t="s" s="1">
        <v>495</v>
      </c>
      <c r="I249" t="s" s="1">
        <v>1729</v>
      </c>
      <c r="J249" t="s" s="1">
        <v>1983</v>
      </c>
      <c r="K249" t="s" s="1">
        <v>312</v>
      </c>
      <c r="L249" t="s" s="1">
        <v>238</v>
      </c>
      <c r="M249" t="n" s="7">
        <v>46500.0</v>
      </c>
      <c r="N249" t="n" s="6">
        <v>45294.0</v>
      </c>
      <c r="O249" t="n" s="6">
        <v>45657.0</v>
      </c>
      <c r="P249" t="s" s="1">
        <v>2009</v>
      </c>
    </row>
    <row r="250" spans="1:16">
      <c r="A250" t="n" s="4">
        <v>246</v>
      </c>
      <c r="B250" s="2">
        <f>HYPERLINK("https://my.zakupivli.pro/remote/dispatcher/state_purchase_view/48462611", "UA-2024-01-18-005215-a")</f>
        <v/>
      </c>
      <c r="C250" t="s" s="2">
        <v>1795</v>
      </c>
      <c r="D250" s="2">
        <f>HYPERLINK("https://my.zakupivli.pro/remote/dispatcher/state_contracting_view/18948903", "UA-2024-01-18-005215-a-a1")</f>
        <v/>
      </c>
      <c r="E250" t="s" s="1">
        <v>1268</v>
      </c>
      <c r="F250" t="s" s="1">
        <v>176</v>
      </c>
      <c r="G250" t="s" s="1">
        <v>179</v>
      </c>
      <c r="H250" t="s" s="1">
        <v>178</v>
      </c>
      <c r="I250" t="s" s="1">
        <v>1729</v>
      </c>
      <c r="J250" t="s" s="1">
        <v>1815</v>
      </c>
      <c r="K250" t="s" s="1">
        <v>648</v>
      </c>
      <c r="L250" t="s" s="1">
        <v>822</v>
      </c>
      <c r="M250" t="n" s="7">
        <v>45624.0</v>
      </c>
      <c r="N250" t="n" s="6">
        <v>45308.0</v>
      </c>
      <c r="O250" t="n" s="6">
        <v>45657.0</v>
      </c>
      <c r="P250" t="s" s="1">
        <v>2009</v>
      </c>
    </row>
    <row r="251" spans="1:16">
      <c r="A251" t="n" s="4">
        <v>247</v>
      </c>
      <c r="B251" s="2">
        <f>HYPERLINK("https://my.zakupivli.pro/remote/dispatcher/state_purchase_view/48465455", "UA-2024-01-18-006354-a")</f>
        <v/>
      </c>
      <c r="C251" t="s" s="2">
        <v>1795</v>
      </c>
      <c r="D251" s="2">
        <f>HYPERLINK("https://my.zakupivli.pro/remote/dispatcher/state_contracting_view/18950025", "UA-2024-01-18-006354-a-c1")</f>
        <v/>
      </c>
      <c r="E251" t="s" s="1">
        <v>38</v>
      </c>
      <c r="F251" t="s" s="1">
        <v>1386</v>
      </c>
      <c r="G251" t="s" s="1">
        <v>1386</v>
      </c>
      <c r="H251" t="s" s="1">
        <v>1385</v>
      </c>
      <c r="I251" t="s" s="1">
        <v>1729</v>
      </c>
      <c r="J251" t="s" s="1">
        <v>1908</v>
      </c>
      <c r="K251" t="s" s="1">
        <v>831</v>
      </c>
      <c r="L251" t="s" s="1">
        <v>805</v>
      </c>
      <c r="M251" t="n" s="7">
        <v>40000.0</v>
      </c>
      <c r="N251" t="n" s="6">
        <v>45308.0</v>
      </c>
      <c r="O251" t="n" s="6">
        <v>45657.0</v>
      </c>
      <c r="P251" t="s" s="1">
        <v>2009</v>
      </c>
    </row>
    <row r="252" spans="1:16">
      <c r="A252" t="n" s="4">
        <v>248</v>
      </c>
      <c r="B252" s="2">
        <f>HYPERLINK("https://my.zakupivli.pro/remote/dispatcher/state_purchase_view/48265074", "UA-2024-01-10-007845-a")</f>
        <v/>
      </c>
      <c r="C252" t="s" s="2">
        <v>1795</v>
      </c>
      <c r="D252" s="2">
        <f>HYPERLINK("https://my.zakupivli.pro/remote/dispatcher/state_contracting_view/18869393", "UA-2024-01-10-007845-a-b1")</f>
        <v/>
      </c>
      <c r="E252" t="s" s="1">
        <v>1628</v>
      </c>
      <c r="F252" t="s" s="1">
        <v>1006</v>
      </c>
      <c r="G252" t="s" s="1">
        <v>1006</v>
      </c>
      <c r="H252" t="s" s="1">
        <v>1005</v>
      </c>
      <c r="I252" t="s" s="1">
        <v>1729</v>
      </c>
      <c r="J252" t="s" s="1">
        <v>1941</v>
      </c>
      <c r="K252" t="s" s="1">
        <v>317</v>
      </c>
      <c r="L252" t="s" s="1">
        <v>196</v>
      </c>
      <c r="M252" t="n" s="7">
        <v>21216.0</v>
      </c>
      <c r="N252" t="n" s="6">
        <v>45300.0</v>
      </c>
      <c r="O252" t="n" s="6">
        <v>45657.0</v>
      </c>
      <c r="P252" t="s" s="1">
        <v>2009</v>
      </c>
    </row>
    <row r="253" spans="1:16">
      <c r="A253" t="n" s="4">
        <v>249</v>
      </c>
      <c r="B253" s="2">
        <f>HYPERLINK("https://my.zakupivli.pro/remote/dispatcher/state_purchase_view/48264441", "UA-2024-01-10-007583-a")</f>
        <v/>
      </c>
      <c r="C253" t="s" s="2">
        <v>1795</v>
      </c>
      <c r="D253" s="2">
        <f>HYPERLINK("https://my.zakupivli.pro/remote/dispatcher/state_contracting_view/18869191", "UA-2024-01-10-007583-a-b1")</f>
        <v/>
      </c>
      <c r="E253" t="s" s="1">
        <v>1275</v>
      </c>
      <c r="F253" t="s" s="1">
        <v>311</v>
      </c>
      <c r="G253" t="s" s="1">
        <v>311</v>
      </c>
      <c r="H253" t="s" s="1">
        <v>310</v>
      </c>
      <c r="I253" t="s" s="1">
        <v>1729</v>
      </c>
      <c r="J253" t="s" s="1">
        <v>1941</v>
      </c>
      <c r="K253" t="s" s="1">
        <v>317</v>
      </c>
      <c r="L253" t="s" s="1">
        <v>172</v>
      </c>
      <c r="M253" t="n" s="7">
        <v>5644.8</v>
      </c>
      <c r="N253" t="n" s="6">
        <v>45300.0</v>
      </c>
      <c r="O253" t="n" s="6">
        <v>45657.0</v>
      </c>
      <c r="P253" t="s" s="1">
        <v>2009</v>
      </c>
    </row>
    <row r="254" spans="1:16">
      <c r="A254" t="n" s="4">
        <v>250</v>
      </c>
      <c r="B254" s="2">
        <f>HYPERLINK("https://my.zakupivli.pro/remote/dispatcher/state_purchase_view/48934045", "UA-2024-02-05-008452-a")</f>
        <v/>
      </c>
      <c r="C254" t="s" s="2">
        <v>1795</v>
      </c>
      <c r="D254" s="2">
        <f>HYPERLINK("https://my.zakupivli.pro/remote/dispatcher/state_contracting_view/19150875", "UA-2024-02-05-008452-a-c1")</f>
        <v/>
      </c>
      <c r="E254" t="s" s="1">
        <v>1484</v>
      </c>
      <c r="F254" t="s" s="1">
        <v>1067</v>
      </c>
      <c r="G254" t="s" s="1">
        <v>1068</v>
      </c>
      <c r="H254" t="s" s="1">
        <v>1066</v>
      </c>
      <c r="I254" t="s" s="1">
        <v>1729</v>
      </c>
      <c r="J254" t="s" s="1">
        <v>1912</v>
      </c>
      <c r="K254" t="s" s="1">
        <v>689</v>
      </c>
      <c r="L254" t="s" s="1">
        <v>1433</v>
      </c>
      <c r="M254" t="n" s="7">
        <v>48000.0</v>
      </c>
      <c r="N254" t="n" s="6">
        <v>45327.0</v>
      </c>
      <c r="O254" t="n" s="6">
        <v>45657.0</v>
      </c>
      <c r="P254" t="s" s="1">
        <v>2009</v>
      </c>
    </row>
    <row r="255" spans="1:16">
      <c r="A255" t="n" s="4">
        <v>251</v>
      </c>
      <c r="B255" s="2">
        <f>HYPERLINK("https://my.zakupivli.pro/remote/dispatcher/state_purchase_view/48608535", "UA-2024-01-23-015200-a")</f>
        <v/>
      </c>
      <c r="C255" t="s" s="2">
        <v>1795</v>
      </c>
      <c r="D255" s="2">
        <f>HYPERLINK("https://my.zakupivli.pro/remote/dispatcher/state_contracting_view/19010578", "UA-2024-01-23-015200-a-b1")</f>
        <v/>
      </c>
      <c r="E255" t="s" s="1">
        <v>23</v>
      </c>
      <c r="F255" t="s" s="1">
        <v>1464</v>
      </c>
      <c r="G255" t="s" s="1">
        <v>1466</v>
      </c>
      <c r="H255" t="s" s="1">
        <v>1465</v>
      </c>
      <c r="I255" t="s" s="1">
        <v>1729</v>
      </c>
      <c r="J255" t="s" s="1">
        <v>1734</v>
      </c>
      <c r="K255" t="s" s="1">
        <v>472</v>
      </c>
      <c r="L255" t="s" s="1">
        <v>1119</v>
      </c>
      <c r="M255" t="n" s="7">
        <v>30000.0</v>
      </c>
      <c r="N255" t="n" s="6">
        <v>45314.0</v>
      </c>
      <c r="O255" t="n" s="6">
        <v>45657.0</v>
      </c>
      <c r="P255" t="s" s="1">
        <v>2009</v>
      </c>
    </row>
    <row r="256" spans="1:16">
      <c r="A256" t="n" s="4">
        <v>252</v>
      </c>
      <c r="B256" s="2">
        <f>HYPERLINK("https://my.zakupivli.pro/remote/dispatcher/state_purchase_view/49522104", "UA-2024-03-01-002113-a")</f>
        <v/>
      </c>
      <c r="C256" t="s" s="2">
        <v>1795</v>
      </c>
      <c r="D256" s="2">
        <f>HYPERLINK("https://my.zakupivli.pro/remote/dispatcher/state_contracting_view/19402974", "UA-2024-03-01-002113-a-b1")</f>
        <v/>
      </c>
      <c r="E256" t="s" s="1">
        <v>1644</v>
      </c>
      <c r="F256" t="s" s="1">
        <v>280</v>
      </c>
      <c r="G256" t="s" s="1">
        <v>280</v>
      </c>
      <c r="H256" t="s" s="1">
        <v>279</v>
      </c>
      <c r="I256" t="s" s="1">
        <v>1729</v>
      </c>
      <c r="J256" t="s" s="1">
        <v>1786</v>
      </c>
      <c r="K256" t="s" s="1">
        <v>313</v>
      </c>
      <c r="L256" t="s" s="1">
        <v>111</v>
      </c>
      <c r="M256" t="n" s="7">
        <v>1120.0</v>
      </c>
      <c r="N256" t="n" s="6">
        <v>45351.0</v>
      </c>
      <c r="O256" t="n" s="6">
        <v>45657.0</v>
      </c>
      <c r="P256" t="s" s="1">
        <v>2009</v>
      </c>
    </row>
    <row r="257" spans="1:16">
      <c r="A257" t="n" s="4">
        <v>253</v>
      </c>
      <c r="B257" s="2">
        <f>HYPERLINK("https://my.zakupivli.pro/remote/dispatcher/state_purchase_view/55726273", "UA-2024-12-13-003343-a")</f>
        <v/>
      </c>
      <c r="C257" t="s" s="2">
        <v>1795</v>
      </c>
      <c r="D257" s="2">
        <f>HYPERLINK("https://my.zakupivli.pro/remote/dispatcher/state_contracting_view/22495424", "UA-2024-12-13-003343-a-a1")</f>
        <v/>
      </c>
      <c r="E257" t="s" s="1">
        <v>1615</v>
      </c>
      <c r="F257" t="s" s="1">
        <v>401</v>
      </c>
      <c r="G257" t="s" s="1">
        <v>2047</v>
      </c>
      <c r="H257" t="s" s="1">
        <v>403</v>
      </c>
      <c r="I257" t="s" s="1">
        <v>1729</v>
      </c>
      <c r="J257" t="s" s="1">
        <v>1825</v>
      </c>
      <c r="K257" t="s" s="1">
        <v>477</v>
      </c>
      <c r="L257" t="s" s="1">
        <v>1204</v>
      </c>
      <c r="M257" t="n" s="4">
        <v>34920</v>
      </c>
      <c r="N257" t="n" s="6">
        <v>45638.0</v>
      </c>
      <c r="O257" t="n" s="6">
        <v>45657.0</v>
      </c>
      <c r="P257" t="s" s="1">
        <v>2009</v>
      </c>
    </row>
    <row r="258" spans="1:16">
      <c r="A258" t="n" s="4">
        <v>254</v>
      </c>
      <c r="B258" s="2">
        <f>HYPERLINK("https://my.zakupivli.pro/remote/dispatcher/state_purchase_view/55395564", "UA-2024-12-04-011079-a")</f>
        <v/>
      </c>
      <c r="C258" t="s" s="2">
        <v>1795</v>
      </c>
      <c r="D258" s="2">
        <f>HYPERLINK("https://my.zakupivli.pro/remote/dispatcher/state_contracting_view/22353137", "UA-2024-12-04-011079-a-a1")</f>
        <v/>
      </c>
      <c r="E258" t="s" s="1">
        <v>1622</v>
      </c>
      <c r="F258" t="s" s="1">
        <v>272</v>
      </c>
      <c r="G258" t="s" s="1">
        <v>2035</v>
      </c>
      <c r="H258" t="s" s="1">
        <v>275</v>
      </c>
      <c r="I258" t="s" s="1">
        <v>1729</v>
      </c>
      <c r="J258" t="s" s="1">
        <v>1786</v>
      </c>
      <c r="K258" t="s" s="1">
        <v>313</v>
      </c>
      <c r="L258" t="s" s="1">
        <v>1201</v>
      </c>
      <c r="M258" t="n" s="4">
        <v>7100</v>
      </c>
      <c r="N258" t="n" s="6">
        <v>45630.0</v>
      </c>
      <c r="O258" t="n" s="6">
        <v>45657.0</v>
      </c>
      <c r="P258" t="s" s="1">
        <v>2009</v>
      </c>
    </row>
    <row r="259" spans="1:16">
      <c r="A259" t="n" s="4">
        <v>255</v>
      </c>
      <c r="B259" s="2">
        <f>HYPERLINK("https://my.zakupivli.pro/remote/dispatcher/state_purchase_view/53460765", "UA-2024-09-20-002707-a")</f>
        <v/>
      </c>
      <c r="C259" t="s" s="2">
        <v>1795</v>
      </c>
      <c r="D259" s="2">
        <f>HYPERLINK("https://my.zakupivli.pro/remote/dispatcher/state_contracting_view/21520985", "UA-2024-09-20-002707-a-b1")</f>
        <v/>
      </c>
      <c r="E259" t="s" s="1">
        <v>1511</v>
      </c>
      <c r="F259" t="s" s="1">
        <v>864</v>
      </c>
      <c r="G259" t="s" s="1">
        <v>868</v>
      </c>
      <c r="H259" t="s" s="1">
        <v>867</v>
      </c>
      <c r="I259" t="s" s="1">
        <v>1729</v>
      </c>
      <c r="J259" t="s" s="1">
        <v>1934</v>
      </c>
      <c r="K259" t="s" s="1">
        <v>853</v>
      </c>
      <c r="L259" t="s" s="1">
        <v>1074</v>
      </c>
      <c r="M259" t="n" s="4">
        <v>14040</v>
      </c>
      <c r="N259" t="n" s="6">
        <v>45555.0</v>
      </c>
      <c r="O259" t="n" s="6">
        <v>45657.0</v>
      </c>
      <c r="P259" t="s" s="1">
        <v>2009</v>
      </c>
    </row>
    <row r="260" spans="1:16">
      <c r="A260" t="n" s="4">
        <v>256</v>
      </c>
      <c r="B260" s="2">
        <f>HYPERLINK("https://my.zakupivli.pro/remote/dispatcher/state_purchase_view/53836066", "UA-2024-10-08-003609-a")</f>
        <v/>
      </c>
      <c r="C260" t="s" s="2">
        <v>1795</v>
      </c>
      <c r="D260" s="2">
        <f>HYPERLINK("https://my.zakupivli.pro/remote/dispatcher/state_contracting_view/21681849", "UA-2024-10-08-003609-a-c1")</f>
        <v/>
      </c>
      <c r="E260" t="s" s="1">
        <v>1562</v>
      </c>
      <c r="F260" t="s" s="1">
        <v>771</v>
      </c>
      <c r="G260" t="s" s="1">
        <v>1683</v>
      </c>
      <c r="H260" t="s" s="1">
        <v>772</v>
      </c>
      <c r="I260" t="s" s="1">
        <v>1729</v>
      </c>
      <c r="J260" t="s" s="1">
        <v>1661</v>
      </c>
      <c r="K260" t="s" s="1">
        <v>351</v>
      </c>
      <c r="L260" t="s" s="1">
        <v>1121</v>
      </c>
      <c r="M260" t="n" s="4">
        <v>49900</v>
      </c>
      <c r="N260" t="n" s="6">
        <v>45573.0</v>
      </c>
      <c r="O260" t="n" s="6">
        <v>45657.0</v>
      </c>
      <c r="P260" t="s" s="1">
        <v>2009</v>
      </c>
    </row>
    <row r="261" spans="1:16">
      <c r="A261" t="n" s="4">
        <v>257</v>
      </c>
      <c r="B261" s="2">
        <f>HYPERLINK("https://my.zakupivli.pro/remote/dispatcher/state_purchase_view/53546806", "UA-2024-09-24-011266-a")</f>
        <v/>
      </c>
      <c r="C261" t="s" s="2">
        <v>1795</v>
      </c>
      <c r="D261" s="2">
        <f>HYPERLINK("https://my.zakupivli.pro/remote/dispatcher/state_contracting_view/21557486", "UA-2024-09-24-011266-a-a1")</f>
        <v/>
      </c>
      <c r="E261" t="s" s="1">
        <v>1559</v>
      </c>
      <c r="F261" t="s" s="1">
        <v>1010</v>
      </c>
      <c r="G261" t="s" s="1">
        <v>2000</v>
      </c>
      <c r="H261" t="s" s="1">
        <v>1013</v>
      </c>
      <c r="I261" t="s" s="1">
        <v>1729</v>
      </c>
      <c r="J261" t="s" s="1">
        <v>1909</v>
      </c>
      <c r="K261" t="s" s="1">
        <v>445</v>
      </c>
      <c r="L261" t="s" s="1">
        <v>1075</v>
      </c>
      <c r="M261" t="n" s="4">
        <v>180000</v>
      </c>
      <c r="N261" t="n" s="6">
        <v>45559.0</v>
      </c>
      <c r="O261" t="n" s="6">
        <v>45657.0</v>
      </c>
      <c r="P261" t="s" s="1">
        <v>2009</v>
      </c>
    </row>
    <row r="262" spans="1:16">
      <c r="A262" t="n" s="4">
        <v>258</v>
      </c>
      <c r="B262" s="2">
        <f>HYPERLINK("https://my.zakupivli.pro/remote/dispatcher/state_purchase_view/50623392", "UA-2024-04-24-005741-a")</f>
        <v/>
      </c>
      <c r="C262" t="s" s="2">
        <v>1795</v>
      </c>
      <c r="D262" s="2">
        <f>HYPERLINK("https://my.zakupivli.pro/remote/dispatcher/state_contracting_view/19883413", "UA-2024-04-24-005741-a-b1")</f>
        <v/>
      </c>
      <c r="E262" t="s" s="1">
        <v>837</v>
      </c>
      <c r="F262" t="s" s="1">
        <v>1410</v>
      </c>
      <c r="G262" t="s" s="1">
        <v>1410</v>
      </c>
      <c r="H262" t="s" s="1">
        <v>1408</v>
      </c>
      <c r="I262" t="s" s="1">
        <v>1729</v>
      </c>
      <c r="J262" t="s" s="1">
        <v>1784</v>
      </c>
      <c r="K262" t="s" s="1">
        <v>342</v>
      </c>
      <c r="L262" t="s" s="1">
        <v>330</v>
      </c>
      <c r="M262" t="n" s="7">
        <v>12558.0</v>
      </c>
      <c r="N262" t="n" s="6">
        <v>45406.0</v>
      </c>
      <c r="O262" t="n" s="6">
        <v>45657.0</v>
      </c>
      <c r="P262" t="s" s="1">
        <v>2009</v>
      </c>
    </row>
    <row r="263" spans="1:16">
      <c r="A263" t="n" s="4">
        <v>259</v>
      </c>
      <c r="B263" s="2">
        <f>HYPERLINK("https://my.zakupivli.pro/remote/dispatcher/state_purchase_view/50640696", "UA-2024-04-24-013570-a")</f>
        <v/>
      </c>
      <c r="C263" t="s" s="2">
        <v>1795</v>
      </c>
      <c r="D263" s="2">
        <f>HYPERLINK("https://my.zakupivli.pro/remote/dispatcher/state_contracting_view/19891192", "UA-2024-04-24-013570-a-b1")</f>
        <v/>
      </c>
      <c r="E263" t="s" s="1">
        <v>1633</v>
      </c>
      <c r="F263" t="s" s="1">
        <v>747</v>
      </c>
      <c r="G263" t="s" s="1">
        <v>2010</v>
      </c>
      <c r="H263" t="s" s="1">
        <v>748</v>
      </c>
      <c r="I263" t="s" s="1">
        <v>1729</v>
      </c>
      <c r="J263" t="s" s="1">
        <v>1783</v>
      </c>
      <c r="K263" t="s" s="1">
        <v>375</v>
      </c>
      <c r="L263" t="s" s="1">
        <v>328</v>
      </c>
      <c r="M263" t="n" s="4">
        <v>15513</v>
      </c>
      <c r="N263" t="n" s="6">
        <v>45405.0</v>
      </c>
      <c r="O263" t="n" s="6">
        <v>45657.0</v>
      </c>
      <c r="P263" t="s" s="1">
        <v>2009</v>
      </c>
    </row>
    <row r="264" spans="1:16">
      <c r="A264" t="n" s="4">
        <v>260</v>
      </c>
      <c r="B264" s="2">
        <f>HYPERLINK("https://my.zakupivli.pro/remote/dispatcher/state_purchase_view/50110409", "UA-2024-03-29-005634-a")</f>
        <v/>
      </c>
      <c r="C264" t="s" s="2">
        <v>1795</v>
      </c>
      <c r="D264" s="2">
        <f>HYPERLINK("https://my.zakupivli.pro/remote/dispatcher/state_contracting_view/19656558", "UA-2024-03-29-005634-a-a1")</f>
        <v/>
      </c>
      <c r="E264" t="s" s="1">
        <v>1401</v>
      </c>
      <c r="F264" t="s" s="1">
        <v>1361</v>
      </c>
      <c r="G264" t="s" s="1">
        <v>1361</v>
      </c>
      <c r="H264" t="s" s="1">
        <v>1360</v>
      </c>
      <c r="I264" t="s" s="1">
        <v>1729</v>
      </c>
      <c r="J264" t="s" s="1">
        <v>1981</v>
      </c>
      <c r="K264" t="s" s="1">
        <v>487</v>
      </c>
      <c r="L264" t="s" s="1">
        <v>63</v>
      </c>
      <c r="M264" t="n" s="7">
        <v>11400.0</v>
      </c>
      <c r="N264" t="n" s="6">
        <v>45379.0</v>
      </c>
      <c r="O264" t="n" s="6">
        <v>45657.0</v>
      </c>
      <c r="P264" t="s" s="1">
        <v>2009</v>
      </c>
    </row>
    <row r="265" spans="1:16">
      <c r="A265" t="n" s="4">
        <v>261</v>
      </c>
      <c r="B265" s="2">
        <f>HYPERLINK("https://my.zakupivli.pro/remote/dispatcher/state_purchase_view/52510425", "UA-2024-08-05-003828-a")</f>
        <v/>
      </c>
      <c r="C265" t="s" s="2">
        <v>1795</v>
      </c>
      <c r="D265" s="2">
        <f>HYPERLINK("https://my.zakupivli.pro/remote/dispatcher/state_contracting_view/21113299", "UA-2024-08-05-003828-a-b1")</f>
        <v/>
      </c>
      <c r="E265" t="s" s="1">
        <v>1367</v>
      </c>
      <c r="F265" t="s" s="1">
        <v>765</v>
      </c>
      <c r="G265" t="s" s="1">
        <v>766</v>
      </c>
      <c r="H265" t="s" s="1">
        <v>767</v>
      </c>
      <c r="I265" t="s" s="1">
        <v>1729</v>
      </c>
      <c r="J265" t="s" s="1">
        <v>1911</v>
      </c>
      <c r="K265" t="s" s="1">
        <v>723</v>
      </c>
      <c r="L265" t="s" s="1">
        <v>686</v>
      </c>
      <c r="M265" t="n" s="7">
        <v>4239.98</v>
      </c>
      <c r="N265" t="n" s="6">
        <v>45509.0</v>
      </c>
      <c r="O265" t="n" s="6">
        <v>45657.0</v>
      </c>
      <c r="P265" t="s" s="1">
        <v>2009</v>
      </c>
    </row>
    <row r="266" spans="1:16">
      <c r="A266" t="n" s="4">
        <v>262</v>
      </c>
      <c r="B266" s="2">
        <f>HYPERLINK("https://my.zakupivli.pro/remote/dispatcher/state_purchase_view/52314709", "UA-2024-07-24-001648-a")</f>
        <v/>
      </c>
      <c r="C266" s="2">
        <f>HYPERLINK("https://my.zakupivli.pro/remote/dispatcher/state_purchase_lot_view/1344005", "UA-2024-07-24-001648-a-L1344005")</f>
        <v/>
      </c>
      <c r="D266" s="2">
        <f>HYPERLINK("https://my.zakupivli.pro/remote/dispatcher/state_contracting_view/21101879", "UA-2024-07-24-001648-a-c1")</f>
        <v/>
      </c>
      <c r="E266" t="s" s="1">
        <v>1421</v>
      </c>
      <c r="F266" t="s" s="1">
        <v>951</v>
      </c>
      <c r="G266" t="s" s="1">
        <v>1777</v>
      </c>
      <c r="H266" t="s" s="1">
        <v>952</v>
      </c>
      <c r="I266" t="s" s="1">
        <v>1697</v>
      </c>
      <c r="J266" t="s" s="1">
        <v>1882</v>
      </c>
      <c r="K266" t="s" s="1">
        <v>1043</v>
      </c>
      <c r="L266" t="s" s="1">
        <v>696</v>
      </c>
      <c r="M266" t="n" s="7">
        <v>672000.0</v>
      </c>
      <c r="N266" t="n" s="6">
        <v>45517.0</v>
      </c>
      <c r="O266" t="n" s="6">
        <v>45657.0</v>
      </c>
      <c r="P266" t="s" s="1">
        <v>2009</v>
      </c>
    </row>
    <row r="267" spans="1:16">
      <c r="A267" t="n" s="4">
        <v>263</v>
      </c>
      <c r="B267" s="2">
        <f>HYPERLINK("https://my.zakupivli.pro/remote/dispatcher/state_purchase_view/48449295", "UA-2024-01-17-017309-a")</f>
        <v/>
      </c>
      <c r="C267" t="s" s="2">
        <v>1795</v>
      </c>
      <c r="D267" s="2">
        <f>HYPERLINK("https://my.zakupivli.pro/remote/dispatcher/state_contracting_view/18942983", "UA-2024-01-17-017309-a-c1")</f>
        <v/>
      </c>
      <c r="E267" t="s" s="1">
        <v>1441</v>
      </c>
      <c r="F267" t="s" s="1">
        <v>1342</v>
      </c>
      <c r="G267" t="s" s="1">
        <v>2028</v>
      </c>
      <c r="H267" t="s" s="1">
        <v>1339</v>
      </c>
      <c r="I267" t="s" s="1">
        <v>1729</v>
      </c>
      <c r="J267" t="s" s="1">
        <v>1710</v>
      </c>
      <c r="K267" t="s" s="1">
        <v>241</v>
      </c>
      <c r="L267" t="s" s="1">
        <v>1286</v>
      </c>
      <c r="M267" t="n" s="7">
        <v>326129.14</v>
      </c>
      <c r="N267" t="n" s="6">
        <v>45306.0</v>
      </c>
      <c r="O267" t="n" s="6">
        <v>45657.0</v>
      </c>
      <c r="P267" t="s" s="1">
        <v>2009</v>
      </c>
    </row>
    <row r="268" spans="1:16">
      <c r="A268" t="n" s="4">
        <v>264</v>
      </c>
      <c r="B268" s="2">
        <f>HYPERLINK("https://my.zakupivli.pro/remote/dispatcher/state_purchase_view/48824836", "UA-2024-01-31-007566-a")</f>
        <v/>
      </c>
      <c r="C268" t="s" s="2">
        <v>1795</v>
      </c>
      <c r="D268" s="2">
        <f>HYPERLINK("https://my.zakupivli.pro/remote/dispatcher/state_contracting_view/19103770", "UA-2024-01-31-007566-a-c1")</f>
        <v/>
      </c>
      <c r="E268" t="s" s="1">
        <v>226</v>
      </c>
      <c r="F268" t="s" s="1">
        <v>307</v>
      </c>
      <c r="G268" t="s" s="1">
        <v>309</v>
      </c>
      <c r="H268" t="s" s="1">
        <v>308</v>
      </c>
      <c r="I268" t="s" s="1">
        <v>1729</v>
      </c>
      <c r="J268" t="s" s="1">
        <v>1919</v>
      </c>
      <c r="K268" t="s" s="1">
        <v>890</v>
      </c>
      <c r="L268" t="s" s="1">
        <v>1348</v>
      </c>
      <c r="M268" t="n" s="7">
        <v>92000.0</v>
      </c>
      <c r="N268" t="n" s="6">
        <v>45322.0</v>
      </c>
      <c r="O268" t="n" s="6">
        <v>45657.0</v>
      </c>
      <c r="P268" t="s" s="1">
        <v>2009</v>
      </c>
    </row>
    <row r="269" spans="1:16">
      <c r="A269" t="n" s="4">
        <v>265</v>
      </c>
      <c r="B269" s="2">
        <f>HYPERLINK("https://my.zakupivli.pro/remote/dispatcher/state_purchase_view/51336197", "UA-2024-05-30-006349-a")</f>
        <v/>
      </c>
      <c r="C269" t="s" s="2">
        <v>1795</v>
      </c>
      <c r="D269" s="2">
        <f>HYPERLINK("https://my.zakupivli.pro/remote/dispatcher/state_contracting_view/20602519", "UA-2024-05-30-006349-a-c1")</f>
        <v/>
      </c>
      <c r="E269" t="s" s="1">
        <v>1424</v>
      </c>
      <c r="F269" t="s" s="1">
        <v>926</v>
      </c>
      <c r="G269" t="s" s="1">
        <v>926</v>
      </c>
      <c r="H269" t="s" s="1">
        <v>925</v>
      </c>
      <c r="I269" t="s" s="1">
        <v>1729</v>
      </c>
      <c r="J269" t="s" s="1">
        <v>1911</v>
      </c>
      <c r="K269" t="s" s="1">
        <v>723</v>
      </c>
      <c r="L269" t="s" s="1">
        <v>371</v>
      </c>
      <c r="M269" t="n" s="7">
        <v>46572.0</v>
      </c>
      <c r="N269" t="n" s="6">
        <v>45441.0</v>
      </c>
      <c r="O269" t="n" s="6">
        <v>45657.0</v>
      </c>
      <c r="P269" t="s" s="1">
        <v>2009</v>
      </c>
    </row>
    <row r="270" spans="1:16">
      <c r="A270" t="n" s="4">
        <v>266</v>
      </c>
      <c r="B270" s="2">
        <f>HYPERLINK("https://my.zakupivli.pro/remote/dispatcher/state_purchase_view/51709840", "UA-2024-06-19-000565-a")</f>
        <v/>
      </c>
      <c r="C270" t="s" s="2">
        <v>1795</v>
      </c>
      <c r="D270" s="2">
        <f>HYPERLINK("https://my.zakupivli.pro/remote/dispatcher/state_contracting_view/20764252", "UA-2024-06-19-000565-a-b1")</f>
        <v/>
      </c>
      <c r="E270" t="s" s="1">
        <v>1056</v>
      </c>
      <c r="F270" t="s" s="1">
        <v>1391</v>
      </c>
      <c r="G270" t="s" s="1">
        <v>1841</v>
      </c>
      <c r="H270" t="s" s="1">
        <v>1390</v>
      </c>
      <c r="I270" t="s" s="1">
        <v>1729</v>
      </c>
      <c r="J270" t="s" s="1">
        <v>1682</v>
      </c>
      <c r="K270" t="s" s="1">
        <v>315</v>
      </c>
      <c r="L270" t="s" s="1">
        <v>525</v>
      </c>
      <c r="M270" t="n" s="4">
        <v>3000</v>
      </c>
      <c r="N270" t="n" s="6">
        <v>45460.0</v>
      </c>
      <c r="O270" t="n" s="6">
        <v>45657.0</v>
      </c>
      <c r="P270" t="s" s="1">
        <v>2009</v>
      </c>
    </row>
    <row r="271" spans="1:16">
      <c r="A271" t="n" s="4">
        <v>267</v>
      </c>
      <c r="B271" s="2">
        <f>HYPERLINK("https://my.zakupivli.pro/remote/dispatcher/state_purchase_view/55226091", "UA-2024-11-28-008925-a")</f>
        <v/>
      </c>
      <c r="C271" t="s" s="2">
        <v>1795</v>
      </c>
      <c r="D271" s="2">
        <f>HYPERLINK("https://my.zakupivli.pro/remote/dispatcher/state_contracting_view/22281006", "UA-2024-11-28-008925-a-b1")</f>
        <v/>
      </c>
      <c r="E271" t="s" s="1">
        <v>100</v>
      </c>
      <c r="F271" t="s" s="1">
        <v>779</v>
      </c>
      <c r="G271" t="s" s="1">
        <v>2027</v>
      </c>
      <c r="H271" t="s" s="1">
        <v>781</v>
      </c>
      <c r="I271" t="s" s="1">
        <v>1729</v>
      </c>
      <c r="J271" t="s" s="1">
        <v>1799</v>
      </c>
      <c r="K271" t="s" s="1">
        <v>339</v>
      </c>
      <c r="L271" t="s" s="1">
        <v>1185</v>
      </c>
      <c r="M271" t="n" s="4">
        <v>22000</v>
      </c>
      <c r="N271" t="n" s="6">
        <v>45623.0</v>
      </c>
      <c r="O271" t="n" s="6">
        <v>45657.0</v>
      </c>
      <c r="P271" t="s" s="1">
        <v>2009</v>
      </c>
    </row>
    <row r="272" spans="1:16">
      <c r="A272" t="n" s="4">
        <v>268</v>
      </c>
      <c r="B272" s="2">
        <f>HYPERLINK("https://my.zakupivli.pro/remote/dispatcher/state_purchase_view/56145664", "UA-2024-12-24-015735-a")</f>
        <v/>
      </c>
      <c r="C272" t="s" s="2">
        <v>1795</v>
      </c>
      <c r="D272" s="2">
        <f>HYPERLINK("https://my.zakupivli.pro/remote/dispatcher/state_contracting_view/22681583", "UA-2024-12-24-015735-a-c1")</f>
        <v/>
      </c>
      <c r="E272" t="s" s="1">
        <v>676</v>
      </c>
      <c r="F272" t="s" s="1">
        <v>1101</v>
      </c>
      <c r="G272" t="s" s="1">
        <v>1105</v>
      </c>
      <c r="H272" t="s" s="1">
        <v>1106</v>
      </c>
      <c r="I272" t="s" s="1">
        <v>1729</v>
      </c>
      <c r="J272" t="s" s="1">
        <v>2006</v>
      </c>
      <c r="K272" t="s" s="1">
        <v>380</v>
      </c>
      <c r="L272" t="s" s="1">
        <v>1237</v>
      </c>
      <c r="M272" t="n" s="4">
        <v>40394</v>
      </c>
      <c r="N272" t="n" s="6">
        <v>45650.0</v>
      </c>
      <c r="O272" t="n" s="6">
        <v>45657.0</v>
      </c>
      <c r="P272" t="s" s="1">
        <v>2009</v>
      </c>
    </row>
    <row r="273" spans="1:16">
      <c r="A273" t="n" s="4">
        <v>269</v>
      </c>
      <c r="B273" s="2">
        <f>HYPERLINK("https://my.zakupivli.pro/remote/dispatcher/state_purchase_view/49985184", "UA-2024-03-22-010775-a")</f>
        <v/>
      </c>
      <c r="C273" t="s" s="2">
        <v>1795</v>
      </c>
      <c r="D273" s="2">
        <f>HYPERLINK("https://my.zakupivli.pro/remote/dispatcher/state_contracting_view/19601683", "UA-2024-03-22-010775-a-c1")</f>
        <v/>
      </c>
      <c r="E273" t="s" s="1">
        <v>299</v>
      </c>
      <c r="F273" t="s" s="1">
        <v>1012</v>
      </c>
      <c r="G273" t="s" s="1">
        <v>1016</v>
      </c>
      <c r="H273" t="s" s="1">
        <v>1015</v>
      </c>
      <c r="I273" t="s" s="1">
        <v>1729</v>
      </c>
      <c r="J273" t="s" s="1">
        <v>1799</v>
      </c>
      <c r="K273" t="s" s="1">
        <v>339</v>
      </c>
      <c r="L273" t="s" s="1">
        <v>158</v>
      </c>
      <c r="M273" t="n" s="7">
        <v>12500.0</v>
      </c>
      <c r="N273" t="n" s="6">
        <v>45371.0</v>
      </c>
      <c r="O273" t="n" s="6">
        <v>45657.0</v>
      </c>
      <c r="P273" t="s" s="1">
        <v>2009</v>
      </c>
    </row>
    <row r="274" spans="1:16">
      <c r="A274" t="n" s="4">
        <v>270</v>
      </c>
      <c r="B274" s="2">
        <f>HYPERLINK("https://my.zakupivli.pro/remote/dispatcher/state_purchase_view/53000897", "UA-2024-08-30-002038-a")</f>
        <v/>
      </c>
      <c r="C274" t="s" s="2">
        <v>1795</v>
      </c>
      <c r="D274" s="2">
        <f>HYPERLINK("https://my.zakupivli.pro/remote/dispatcher/state_contracting_view/21326433", "UA-2024-08-30-002038-a-a1")</f>
        <v/>
      </c>
      <c r="E274" t="s" s="1">
        <v>1649</v>
      </c>
      <c r="F274" t="s" s="1">
        <v>1318</v>
      </c>
      <c r="G274" t="s" s="1">
        <v>2019</v>
      </c>
      <c r="H274" t="s" s="1">
        <v>1321</v>
      </c>
      <c r="I274" t="s" s="1">
        <v>1729</v>
      </c>
      <c r="J274" t="s" s="1">
        <v>1690</v>
      </c>
      <c r="K274" t="s" s="1">
        <v>433</v>
      </c>
      <c r="L274" t="s" s="1">
        <v>820</v>
      </c>
      <c r="M274" t="n" s="7">
        <v>253052.63</v>
      </c>
      <c r="N274" t="n" s="6">
        <v>45533.0</v>
      </c>
      <c r="O274" t="n" s="6">
        <v>45657.0</v>
      </c>
      <c r="P274" t="s" s="1">
        <v>2009</v>
      </c>
    </row>
    <row r="275" spans="1:16">
      <c r="A275" t="n" s="4">
        <v>271</v>
      </c>
      <c r="B275" s="2">
        <f>HYPERLINK("https://my.zakupivli.pro/remote/dispatcher/state_purchase_view/54328406", "UA-2024-10-28-002427-a")</f>
        <v/>
      </c>
      <c r="C275" t="s" s="2">
        <v>1795</v>
      </c>
      <c r="D275" s="2">
        <f>HYPERLINK("https://my.zakupivli.pro/remote/dispatcher/state_contracting_view/21894797", "UA-2024-10-28-002427-a-b1")</f>
        <v/>
      </c>
      <c r="E275" t="s" s="1">
        <v>1442</v>
      </c>
      <c r="F275" t="s" s="1">
        <v>1023</v>
      </c>
      <c r="G275" t="s" s="1">
        <v>1023</v>
      </c>
      <c r="H275" t="s" s="1">
        <v>1021</v>
      </c>
      <c r="I275" t="s" s="1">
        <v>1729</v>
      </c>
      <c r="J275" t="s" s="1">
        <v>1815</v>
      </c>
      <c r="K275" t="s" s="1">
        <v>648</v>
      </c>
      <c r="L275" t="s" s="1">
        <v>1142</v>
      </c>
      <c r="M275" t="n" s="4">
        <v>48600</v>
      </c>
      <c r="N275" t="n" s="6">
        <v>45590.0</v>
      </c>
      <c r="O275" t="n" s="6">
        <v>45657.0</v>
      </c>
      <c r="P275" t="s" s="1">
        <v>2009</v>
      </c>
    </row>
    <row r="276" spans="1:16">
      <c r="A276" t="n" s="4">
        <v>272</v>
      </c>
      <c r="B276" s="2">
        <f>HYPERLINK("https://my.zakupivli.pro/remote/dispatcher/state_purchase_view/54794281", "UA-2024-11-14-002481-a")</f>
        <v/>
      </c>
      <c r="C276" t="s" s="2">
        <v>1795</v>
      </c>
      <c r="D276" s="2">
        <f>HYPERLINK("https://my.zakupivli.pro/remote/dispatcher/state_contracting_view/22095029", "UA-2024-11-14-002481-a-c1")</f>
        <v/>
      </c>
      <c r="E276" t="s" s="1">
        <v>1407</v>
      </c>
      <c r="F276" t="s" s="1">
        <v>985</v>
      </c>
      <c r="G276" t="s" s="1">
        <v>989</v>
      </c>
      <c r="H276" t="s" s="1">
        <v>987</v>
      </c>
      <c r="I276" t="s" s="1">
        <v>1729</v>
      </c>
      <c r="J276" t="s" s="1">
        <v>1917</v>
      </c>
      <c r="K276" t="s" s="1">
        <v>546</v>
      </c>
      <c r="L276" t="s" s="1">
        <v>1423</v>
      </c>
      <c r="M276" t="n" s="7">
        <v>7888.39</v>
      </c>
      <c r="N276" t="n" s="6">
        <v>45609.0</v>
      </c>
      <c r="O276" t="n" s="6">
        <v>45657.0</v>
      </c>
      <c r="P276" t="s" s="1">
        <v>2009</v>
      </c>
    </row>
    <row r="277" spans="1:16">
      <c r="A277" t="n" s="4">
        <v>273</v>
      </c>
      <c r="B277" s="2">
        <f>HYPERLINK("https://my.zakupivli.pro/remote/dispatcher/state_purchase_view/55973608", "UA-2024-12-19-015487-a")</f>
        <v/>
      </c>
      <c r="C277" t="s" s="2">
        <v>1795</v>
      </c>
      <c r="D277" s="2">
        <f>HYPERLINK("https://my.zakupivli.pro/remote/dispatcher/state_contracting_view/22603772", "UA-2024-12-19-015487-a-a1")</f>
        <v/>
      </c>
      <c r="E277" t="s" s="1">
        <v>657</v>
      </c>
      <c r="F277" t="s" s="1">
        <v>841</v>
      </c>
      <c r="G277" t="s" s="1">
        <v>1794</v>
      </c>
      <c r="H277" t="s" s="1">
        <v>844</v>
      </c>
      <c r="I277" t="s" s="1">
        <v>1729</v>
      </c>
      <c r="J277" t="s" s="1">
        <v>1740</v>
      </c>
      <c r="K277" t="s" s="1">
        <v>376</v>
      </c>
      <c r="L277" t="s" s="1">
        <v>1229</v>
      </c>
      <c r="M277" t="n" s="4">
        <v>11880</v>
      </c>
      <c r="N277" t="n" s="6">
        <v>45645.0</v>
      </c>
      <c r="O277" t="n" s="6">
        <v>45657.0</v>
      </c>
      <c r="P277" t="s" s="1">
        <v>2009</v>
      </c>
    </row>
    <row r="278" spans="1:16">
      <c r="A278" t="n" s="4">
        <v>274</v>
      </c>
      <c r="B278" s="2">
        <f>HYPERLINK("https://my.zakupivli.pro/remote/dispatcher/state_purchase_view/54600681", "UA-2024-11-07-001700-a")</f>
        <v/>
      </c>
      <c r="C278" s="2">
        <f>HYPERLINK("https://my.zakupivli.pro/remote/dispatcher/state_purchase_lot_view/1448736", "UA-2024-11-07-001700-a-L1448736")</f>
        <v/>
      </c>
      <c r="D278" s="2">
        <f>HYPERLINK("https://my.zakupivli.pro/remote/dispatcher/state_contracting_view/22191751", "UA-2024-11-07-001700-a-c1")</f>
        <v/>
      </c>
      <c r="E278" t="s" s="1">
        <v>1379</v>
      </c>
      <c r="F278" t="s" s="1">
        <v>884</v>
      </c>
      <c r="G278" t="s" s="1">
        <v>888</v>
      </c>
      <c r="H278" t="s" s="1">
        <v>887</v>
      </c>
      <c r="I278" t="s" s="1">
        <v>1697</v>
      </c>
      <c r="J278" t="s" s="1">
        <v>1828</v>
      </c>
      <c r="K278" t="s" s="1">
        <v>720</v>
      </c>
      <c r="L278" t="s" s="1">
        <v>1182</v>
      </c>
      <c r="M278" t="n" s="7">
        <v>45000.0</v>
      </c>
      <c r="N278" t="n" s="6">
        <v>45623.0</v>
      </c>
      <c r="O278" t="n" s="6">
        <v>45657.0</v>
      </c>
      <c r="P278" t="s" s="1">
        <v>2036</v>
      </c>
    </row>
    <row r="279" spans="1:16">
      <c r="A279" t="n" s="4">
        <v>275</v>
      </c>
      <c r="B279" s="2">
        <f>HYPERLINK("https://my.zakupivli.pro/remote/dispatcher/state_purchase_view/51939761", "UA-2024-07-02-003757-a")</f>
        <v/>
      </c>
      <c r="C279" s="2">
        <f>HYPERLINK("https://my.zakupivli.pro/remote/dispatcher/state_purchase_lot_view/1326241", "UA-2024-07-02-003757-a-L1326241")</f>
        <v/>
      </c>
      <c r="D279" s="2">
        <f>HYPERLINK("https://my.zakupivli.pro/remote/dispatcher/state_contracting_view/20952422", "UA-2024-07-02-003757-a-b1")</f>
        <v/>
      </c>
      <c r="E279" t="s" s="1">
        <v>1128</v>
      </c>
      <c r="F279" t="s" s="1">
        <v>1001</v>
      </c>
      <c r="G279" t="s" s="1">
        <v>1723</v>
      </c>
      <c r="H279" t="s" s="1">
        <v>1003</v>
      </c>
      <c r="I279" t="s" s="1">
        <v>1697</v>
      </c>
      <c r="J279" t="s" s="1">
        <v>1863</v>
      </c>
      <c r="K279" t="s" s="1">
        <v>784</v>
      </c>
      <c r="L279" t="s" s="1">
        <v>647</v>
      </c>
      <c r="M279" t="n" s="7">
        <v>244240.2</v>
      </c>
      <c r="N279" t="n" s="6">
        <v>45491.0</v>
      </c>
      <c r="O279" t="n" s="6">
        <v>45657.0</v>
      </c>
      <c r="P279" t="s" s="1">
        <v>2036</v>
      </c>
    </row>
    <row r="280" spans="1:16">
      <c r="A280" t="n" s="4">
        <v>276</v>
      </c>
      <c r="B280" s="2">
        <f>HYPERLINK("https://my.zakupivli.pro/remote/dispatcher/state_purchase_view/49274130", "UA-2024-02-19-012045-a")</f>
        <v/>
      </c>
      <c r="C280" t="s" s="2">
        <v>1795</v>
      </c>
      <c r="D280" s="2">
        <f>HYPERLINK("https://my.zakupivli.pro/remote/dispatcher/state_contracting_view/19296246", "UA-2024-02-19-012045-a-b1")</f>
        <v/>
      </c>
      <c r="E280" t="s" s="1">
        <v>1118</v>
      </c>
      <c r="F280" t="s" s="1">
        <v>49</v>
      </c>
      <c r="G280" t="s" s="1">
        <v>2033</v>
      </c>
      <c r="H280" t="s" s="1">
        <v>47</v>
      </c>
      <c r="I280" t="s" s="1">
        <v>1729</v>
      </c>
      <c r="J280" t="s" s="1">
        <v>1712</v>
      </c>
      <c r="K280" t="s" s="1">
        <v>210</v>
      </c>
      <c r="L280" t="s" s="1">
        <v>81</v>
      </c>
      <c r="M280" t="n" s="7">
        <v>697631.03</v>
      </c>
      <c r="N280" t="n" s="6">
        <v>45341.0</v>
      </c>
      <c r="O280" t="n" s="6">
        <v>45657.0</v>
      </c>
      <c r="P280" t="s" s="1">
        <v>2036</v>
      </c>
    </row>
    <row r="281" spans="1:16">
      <c r="A281" t="n" s="4">
        <v>277</v>
      </c>
      <c r="B281" s="2">
        <f>HYPERLINK("https://my.zakupivli.pro/remote/dispatcher/state_purchase_view/50638428", "UA-2024-04-24-012466-a")</f>
        <v/>
      </c>
      <c r="C281" t="s" s="2">
        <v>1795</v>
      </c>
      <c r="D281" s="2">
        <f>HYPERLINK("https://my.zakupivli.pro/remote/dispatcher/state_contracting_view/19890091", "UA-2024-04-24-012466-a-a1")</f>
        <v/>
      </c>
      <c r="E281" t="s" s="1">
        <v>1609</v>
      </c>
      <c r="F281" t="s" s="1">
        <v>499</v>
      </c>
      <c r="G281" t="s" s="1">
        <v>2105</v>
      </c>
      <c r="H281" t="s" s="1">
        <v>502</v>
      </c>
      <c r="I281" t="s" s="1">
        <v>1729</v>
      </c>
      <c r="J281" t="s" s="1">
        <v>1689</v>
      </c>
      <c r="K281" t="s" s="1">
        <v>349</v>
      </c>
      <c r="L281" t="s" s="1">
        <v>319</v>
      </c>
      <c r="M281" t="n" s="4">
        <v>38000</v>
      </c>
      <c r="N281" t="n" s="6">
        <v>45405.0</v>
      </c>
      <c r="O281" t="n" s="6">
        <v>45657.0</v>
      </c>
      <c r="P281" t="s" s="1">
        <v>2036</v>
      </c>
    </row>
    <row r="282" spans="1:16">
      <c r="A282" t="n" s="4">
        <v>278</v>
      </c>
      <c r="B282" s="2">
        <f>HYPERLINK("https://my.zakupivli.pro/remote/dispatcher/state_purchase_view/49593023", "UA-2024-03-05-007630-a")</f>
        <v/>
      </c>
      <c r="C282" t="s" s="2">
        <v>1795</v>
      </c>
      <c r="D282" s="2">
        <f>HYPERLINK("https://my.zakupivli.pro/remote/dispatcher/state_contracting_view/19433292", "UA-2024-03-05-007630-a-c1")</f>
        <v/>
      </c>
      <c r="E282" t="s" s="1">
        <v>1135</v>
      </c>
      <c r="F282" t="s" s="1">
        <v>917</v>
      </c>
      <c r="G282" t="s" s="1">
        <v>919</v>
      </c>
      <c r="H282" t="s" s="1">
        <v>918</v>
      </c>
      <c r="I282" t="s" s="1">
        <v>1729</v>
      </c>
      <c r="J282" t="s" s="1">
        <v>1740</v>
      </c>
      <c r="K282" t="s" s="1">
        <v>376</v>
      </c>
      <c r="L282" t="s" s="1">
        <v>133</v>
      </c>
      <c r="M282" t="n" s="7">
        <v>126500.0</v>
      </c>
      <c r="N282" t="n" s="6">
        <v>45356.0</v>
      </c>
      <c r="O282" t="n" s="6">
        <v>45657.0</v>
      </c>
      <c r="P282" t="s" s="1">
        <v>2036</v>
      </c>
    </row>
    <row r="283" spans="1:16">
      <c r="A283" t="n" s="4">
        <v>279</v>
      </c>
      <c r="B283" s="2">
        <f>HYPERLINK("https://my.zakupivli.pro/remote/dispatcher/state_purchase_view/49769189", "UA-2024-03-13-008762-a")</f>
        <v/>
      </c>
      <c r="C283" s="2">
        <f>HYPERLINK("https://my.zakupivli.pro/remote/dispatcher/state_purchase_lot_view/1230754", "UA-2024-03-13-008762-a-L1230754")</f>
        <v/>
      </c>
      <c r="D283" s="2">
        <f>HYPERLINK("https://my.zakupivli.pro/remote/dispatcher/state_contracting_view/19720791", "UA-2024-03-13-008762-a-b1")</f>
        <v/>
      </c>
      <c r="E283" t="s" s="1">
        <v>231</v>
      </c>
      <c r="F283" t="s" s="1">
        <v>523</v>
      </c>
      <c r="G283" t="s" s="1">
        <v>1705</v>
      </c>
      <c r="H283" t="s" s="1">
        <v>524</v>
      </c>
      <c r="I283" t="s" s="1">
        <v>1697</v>
      </c>
      <c r="J283" t="s" s="1">
        <v>1995</v>
      </c>
      <c r="K283" t="s" s="1">
        <v>348</v>
      </c>
      <c r="L283" t="s" s="1">
        <v>193</v>
      </c>
      <c r="M283" t="n" s="7">
        <v>1427166.0</v>
      </c>
      <c r="N283" t="n" s="6">
        <v>45386.0</v>
      </c>
      <c r="O283" t="n" s="6">
        <v>45657.0</v>
      </c>
      <c r="P283" t="s" s="1">
        <v>2036</v>
      </c>
    </row>
    <row r="284" spans="1:16">
      <c r="A284" t="n" s="4">
        <v>280</v>
      </c>
      <c r="B284" s="2">
        <f>HYPERLINK("https://my.zakupivli.pro/remote/dispatcher/state_purchase_view/51311529", "UA-2024-05-29-007115-a")</f>
        <v/>
      </c>
      <c r="C284" s="2">
        <f>HYPERLINK("https://my.zakupivli.pro/remote/dispatcher/state_purchase_lot_view/1297024", "UA-2024-05-29-007115-a-L1297024")</f>
        <v/>
      </c>
      <c r="D284" s="2">
        <f>HYPERLINK("https://my.zakupivli.pro/remote/dispatcher/state_contracting_view/20683771", "UA-2024-05-29-007115-a-b1")</f>
        <v/>
      </c>
      <c r="E284" t="s" s="1">
        <v>1177</v>
      </c>
      <c r="F284" t="s" s="1">
        <v>991</v>
      </c>
      <c r="G284" t="s" s="1">
        <v>1704</v>
      </c>
      <c r="H284" t="s" s="1">
        <v>993</v>
      </c>
      <c r="I284" t="s" s="1">
        <v>1697</v>
      </c>
      <c r="J284" t="s" s="1">
        <v>1887</v>
      </c>
      <c r="K284" t="s" s="1">
        <v>304</v>
      </c>
      <c r="L284" t="s" s="1">
        <v>528</v>
      </c>
      <c r="M284" t="n" s="7">
        <v>115953.48</v>
      </c>
      <c r="N284" t="n" s="6">
        <v>45461.0</v>
      </c>
      <c r="O284" t="n" s="6">
        <v>45657.0</v>
      </c>
      <c r="P284" t="s" s="1">
        <v>2036</v>
      </c>
    </row>
    <row r="285" spans="1:16">
      <c r="A285" t="n" s="4">
        <v>281</v>
      </c>
      <c r="B285" s="2">
        <f>HYPERLINK("https://my.zakupivli.pro/remote/dispatcher/state_purchase_view/50505487", "UA-2024-04-18-003969-a")</f>
        <v/>
      </c>
      <c r="C285" s="2">
        <f>HYPERLINK("https://my.zakupivli.pro/remote/dispatcher/state_purchase_lot_view/1261754", "UA-2024-04-18-003969-a-L1261754")</f>
        <v/>
      </c>
      <c r="D285" s="2">
        <f>HYPERLINK("https://my.zakupivli.pro/remote/dispatcher/state_contracting_view/19925534", "UA-2024-04-18-003969-a-c1")</f>
        <v/>
      </c>
      <c r="E285" t="s" s="1">
        <v>1515</v>
      </c>
      <c r="F285" t="s" s="1">
        <v>1380</v>
      </c>
      <c r="G285" t="s" s="1">
        <v>1381</v>
      </c>
      <c r="H285" t="s" s="1">
        <v>1382</v>
      </c>
      <c r="I285" t="s" s="1">
        <v>1697</v>
      </c>
      <c r="J285" t="s" s="1">
        <v>1674</v>
      </c>
      <c r="K285" t="s" s="1">
        <v>259</v>
      </c>
      <c r="L285" t="s" s="1">
        <v>341</v>
      </c>
      <c r="M285" t="n" s="7">
        <v>71760.0</v>
      </c>
      <c r="N285" t="n" s="6">
        <v>45418.0</v>
      </c>
      <c r="O285" t="n" s="6">
        <v>45657.0</v>
      </c>
      <c r="P285" t="s" s="1">
        <v>2036</v>
      </c>
    </row>
    <row r="286" spans="1:16">
      <c r="A286" t="n" s="4">
        <v>282</v>
      </c>
      <c r="B286" s="2">
        <f>HYPERLINK("https://my.zakupivli.pro/remote/dispatcher/state_purchase_view/52226337", "UA-2024-07-18-005796-a")</f>
        <v/>
      </c>
      <c r="C286" t="s" s="2">
        <v>1795</v>
      </c>
      <c r="D286" s="2">
        <f>HYPERLINK("https://my.zakupivli.pro/remote/dispatcher/state_contracting_view/20990366", "UA-2024-07-18-005796-a-b1")</f>
        <v/>
      </c>
      <c r="E286" t="s" s="1">
        <v>1272</v>
      </c>
      <c r="F286" t="s" s="1">
        <v>1290</v>
      </c>
      <c r="G286" t="s" s="1">
        <v>2022</v>
      </c>
      <c r="H286" t="s" s="1">
        <v>1304</v>
      </c>
      <c r="I286" t="s" s="1">
        <v>1729</v>
      </c>
      <c r="J286" t="s" s="1">
        <v>1802</v>
      </c>
      <c r="K286" t="s" s="1">
        <v>920</v>
      </c>
      <c r="L286" t="s" s="1">
        <v>646</v>
      </c>
      <c r="M286" t="n" s="4">
        <v>72450</v>
      </c>
      <c r="N286" t="n" s="6">
        <v>45490.0</v>
      </c>
      <c r="O286" t="n" s="6">
        <v>45657.0</v>
      </c>
      <c r="P286" t="s" s="1">
        <v>2009</v>
      </c>
    </row>
    <row r="287" spans="1:16">
      <c r="A287" t="n" s="4">
        <v>283</v>
      </c>
      <c r="B287" s="2">
        <f>HYPERLINK("https://my.zakupivli.pro/remote/dispatcher/state_purchase_view/48646102", "UA-2024-01-24-013780-a")</f>
        <v/>
      </c>
      <c r="C287" t="s" s="2">
        <v>1795</v>
      </c>
      <c r="D287" s="2">
        <f>HYPERLINK("https://my.zakupivli.pro/remote/dispatcher/state_contracting_view/19027454", "UA-2024-01-24-013780-a-b1")</f>
        <v/>
      </c>
      <c r="E287" t="s" s="1">
        <v>1591</v>
      </c>
      <c r="F287" t="s" s="1">
        <v>1345</v>
      </c>
      <c r="G287" t="s" s="1">
        <v>1838</v>
      </c>
      <c r="H287" t="s" s="1">
        <v>1344</v>
      </c>
      <c r="I287" t="s" s="1">
        <v>1729</v>
      </c>
      <c r="J287" t="s" s="1">
        <v>1924</v>
      </c>
      <c r="K287" t="s" s="1">
        <v>827</v>
      </c>
      <c r="L287" t="s" s="1">
        <v>1087</v>
      </c>
      <c r="M287" t="n" s="7">
        <v>28000.0</v>
      </c>
      <c r="N287" t="n" s="6">
        <v>45314.0</v>
      </c>
      <c r="O287" t="n" s="6">
        <v>45657.0</v>
      </c>
      <c r="P287" t="s" s="1">
        <v>2009</v>
      </c>
    </row>
    <row r="288" spans="1:16">
      <c r="A288" t="n" s="4">
        <v>284</v>
      </c>
      <c r="B288" s="2">
        <f>HYPERLINK("https://my.zakupivli.pro/remote/dispatcher/state_purchase_view/48646765", "UA-2024-01-24-014020-a")</f>
        <v/>
      </c>
      <c r="C288" t="s" s="2">
        <v>1795</v>
      </c>
      <c r="D288" s="2">
        <f>HYPERLINK("https://my.zakupivli.pro/remote/dispatcher/state_contracting_view/19027024", "UA-2024-01-24-014020-a-a1")</f>
        <v/>
      </c>
      <c r="E288" t="s" s="1">
        <v>291</v>
      </c>
      <c r="F288" t="s" s="1">
        <v>43</v>
      </c>
      <c r="G288" t="s" s="1">
        <v>1501</v>
      </c>
      <c r="H288" t="s" s="1">
        <v>42</v>
      </c>
      <c r="I288" t="s" s="1">
        <v>1729</v>
      </c>
      <c r="J288" t="s" s="1">
        <v>1988</v>
      </c>
      <c r="K288" t="s" s="1">
        <v>320</v>
      </c>
      <c r="L288" t="s" s="1">
        <v>1072</v>
      </c>
      <c r="M288" t="n" s="7">
        <v>15000.0</v>
      </c>
      <c r="N288" t="n" s="6">
        <v>45314.0</v>
      </c>
      <c r="O288" t="n" s="6">
        <v>45657.0</v>
      </c>
      <c r="P288" t="s" s="1">
        <v>2009</v>
      </c>
    </row>
    <row r="289" spans="1:16">
      <c r="A289" t="n" s="4">
        <v>285</v>
      </c>
      <c r="B289" s="2">
        <f>HYPERLINK("https://my.zakupivli.pro/remote/dispatcher/state_purchase_view/51709113", "UA-2024-06-19-000236-a")</f>
        <v/>
      </c>
      <c r="C289" t="s" s="2">
        <v>1795</v>
      </c>
      <c r="D289" s="2">
        <f>HYPERLINK("https://my.zakupivli.pro/remote/dispatcher/state_contracting_view/20763907", "UA-2024-06-19-000236-a-c1")</f>
        <v/>
      </c>
      <c r="E289" t="s" s="1">
        <v>56</v>
      </c>
      <c r="F289" t="s" s="1">
        <v>1007</v>
      </c>
      <c r="G289" t="s" s="1">
        <v>2091</v>
      </c>
      <c r="H289" t="s" s="1">
        <v>1008</v>
      </c>
      <c r="I289" t="s" s="1">
        <v>1729</v>
      </c>
      <c r="J289" t="s" s="1">
        <v>1940</v>
      </c>
      <c r="K289" t="s" s="1">
        <v>784</v>
      </c>
      <c r="L289" t="s" s="1">
        <v>526</v>
      </c>
      <c r="M289" t="n" s="4">
        <v>47760</v>
      </c>
      <c r="N289" t="n" s="6">
        <v>45461.0</v>
      </c>
      <c r="O289" t="n" s="6">
        <v>45657.0</v>
      </c>
      <c r="P289" t="s" s="1">
        <v>2009</v>
      </c>
    </row>
    <row r="290" spans="1:16">
      <c r="A290" t="n" s="4">
        <v>286</v>
      </c>
      <c r="B290" s="2">
        <f>HYPERLINK("https://my.zakupivli.pro/remote/dispatcher/state_purchase_view/52414189", "UA-2024-07-30-003184-a")</f>
        <v/>
      </c>
      <c r="C290" t="s" s="2">
        <v>1795</v>
      </c>
      <c r="D290" s="2">
        <f>HYPERLINK("https://my.zakupivli.pro/remote/dispatcher/state_contracting_view/21072291", "UA-2024-07-30-003184-a-c1")</f>
        <v/>
      </c>
      <c r="E290" t="s" s="1">
        <v>1173</v>
      </c>
      <c r="F290" t="s" s="1">
        <v>1039</v>
      </c>
      <c r="G290" t="s" s="1">
        <v>2083</v>
      </c>
      <c r="H290" t="s" s="1">
        <v>1041</v>
      </c>
      <c r="I290" t="s" s="1">
        <v>1729</v>
      </c>
      <c r="J290" t="s" s="1">
        <v>1816</v>
      </c>
      <c r="K290" t="s" s="1">
        <v>1027</v>
      </c>
      <c r="L290" t="s" s="1">
        <v>679</v>
      </c>
      <c r="M290" t="n" s="7">
        <v>88627.97</v>
      </c>
      <c r="N290" t="n" s="6">
        <v>45499.0</v>
      </c>
      <c r="O290" t="n" s="6">
        <v>45657.0</v>
      </c>
      <c r="P290" t="s" s="1">
        <v>2009</v>
      </c>
    </row>
    <row r="291" spans="1:16">
      <c r="A291" t="n" s="4">
        <v>287</v>
      </c>
      <c r="B291" s="2">
        <f>HYPERLINK("https://my.zakupivli.pro/remote/dispatcher/state_purchase_view/50086888", "UA-2024-03-28-005912-a")</f>
        <v/>
      </c>
      <c r="C291" t="s" s="2">
        <v>1795</v>
      </c>
      <c r="D291" s="2">
        <f>HYPERLINK("https://my.zakupivli.pro/remote/dispatcher/state_contracting_view/19646396", "UA-2024-03-28-005912-a-c1")</f>
        <v/>
      </c>
      <c r="E291" t="s" s="1">
        <v>1278</v>
      </c>
      <c r="F291" t="s" s="1">
        <v>213</v>
      </c>
      <c r="G291" t="s" s="1">
        <v>2092</v>
      </c>
      <c r="H291" t="s" s="1">
        <v>212</v>
      </c>
      <c r="I291" t="s" s="1">
        <v>1729</v>
      </c>
      <c r="J291" t="s" s="1">
        <v>1911</v>
      </c>
      <c r="K291" t="s" s="1">
        <v>723</v>
      </c>
      <c r="L291" t="s" s="1">
        <v>166</v>
      </c>
      <c r="M291" t="n" s="7">
        <v>21598.56</v>
      </c>
      <c r="N291" t="n" s="6">
        <v>45379.0</v>
      </c>
      <c r="O291" t="n" s="6">
        <v>45657.0</v>
      </c>
      <c r="P291" t="s" s="1">
        <v>2009</v>
      </c>
    </row>
    <row r="292" spans="1:16">
      <c r="A292" t="n" s="4">
        <v>288</v>
      </c>
      <c r="B292" s="2">
        <f>HYPERLINK("https://my.zakupivli.pro/remote/dispatcher/state_purchase_view/52065194", "UA-2024-07-09-005459-a")</f>
        <v/>
      </c>
      <c r="C292" t="s" s="2">
        <v>1795</v>
      </c>
      <c r="D292" s="2">
        <f>HYPERLINK("https://my.zakupivli.pro/remote/dispatcher/state_contracting_view/20919600", "UA-2024-07-09-005459-a-a1")</f>
        <v/>
      </c>
      <c r="E292" t="s" s="1">
        <v>1150</v>
      </c>
      <c r="F292" t="s" s="1">
        <v>571</v>
      </c>
      <c r="G292" t="s" s="1">
        <v>573</v>
      </c>
      <c r="H292" t="s" s="1">
        <v>572</v>
      </c>
      <c r="I292" t="s" s="1">
        <v>1729</v>
      </c>
      <c r="J292" t="s" s="1">
        <v>1911</v>
      </c>
      <c r="K292" t="s" s="1">
        <v>723</v>
      </c>
      <c r="L292" t="s" s="1">
        <v>632</v>
      </c>
      <c r="M292" t="n" s="7">
        <v>7000.08</v>
      </c>
      <c r="N292" t="n" s="6">
        <v>45482.0</v>
      </c>
      <c r="O292" t="n" s="6">
        <v>45657.0</v>
      </c>
      <c r="P292" t="s" s="1">
        <v>2009</v>
      </c>
    </row>
    <row r="293" spans="1:16">
      <c r="A293" t="n" s="4">
        <v>289</v>
      </c>
      <c r="B293" s="2">
        <f>HYPERLINK("https://my.zakupivli.pro/remote/dispatcher/state_purchase_view/52364958", "UA-2024-07-26-001679-a")</f>
        <v/>
      </c>
      <c r="C293" t="s" s="2">
        <v>1795</v>
      </c>
      <c r="D293" s="2">
        <f>HYPERLINK("https://my.zakupivli.pro/remote/dispatcher/state_contracting_view/21050745", "UA-2024-07-26-001679-a-b1")</f>
        <v/>
      </c>
      <c r="E293" t="s" s="1">
        <v>1504</v>
      </c>
      <c r="F293" t="s" s="1">
        <v>1048</v>
      </c>
      <c r="G293" t="s" s="1">
        <v>2057</v>
      </c>
      <c r="H293" t="s" s="1">
        <v>1049</v>
      </c>
      <c r="I293" t="s" s="1">
        <v>1729</v>
      </c>
      <c r="J293" t="s" s="1">
        <v>1928</v>
      </c>
      <c r="K293" t="s" s="1">
        <v>997</v>
      </c>
      <c r="L293" t="s" s="1">
        <v>664</v>
      </c>
      <c r="M293" t="n" s="7">
        <v>99499.68</v>
      </c>
      <c r="N293" t="n" s="6">
        <v>45496.0</v>
      </c>
      <c r="O293" t="n" s="6">
        <v>45657.0</v>
      </c>
      <c r="P293" t="s" s="1">
        <v>2009</v>
      </c>
    </row>
    <row r="294" spans="1:16">
      <c r="A294" t="n" s="4">
        <v>290</v>
      </c>
      <c r="B294" s="2">
        <f>HYPERLINK("https://my.zakupivli.pro/remote/dispatcher/state_purchase_view/53024042", "UA-2024-09-02-002240-a")</f>
        <v/>
      </c>
      <c r="C294" s="2">
        <f>HYPERLINK("https://my.zakupivli.pro/remote/dispatcher/state_purchase_lot_view/1377649", "UA-2024-09-02-002240-a-L1377649")</f>
        <v/>
      </c>
      <c r="D294" s="2">
        <f>HYPERLINK("https://my.zakupivli.pro/remote/dispatcher/state_contracting_view/21491380", "UA-2024-09-02-002240-a-c1")</f>
        <v/>
      </c>
      <c r="E294" t="s" s="1">
        <v>46</v>
      </c>
      <c r="F294" t="s" s="1">
        <v>531</v>
      </c>
      <c r="G294" t="s" s="1">
        <v>1746</v>
      </c>
      <c r="H294" t="s" s="1">
        <v>532</v>
      </c>
      <c r="I294" t="s" s="1">
        <v>1697</v>
      </c>
      <c r="J294" t="s" s="1">
        <v>1733</v>
      </c>
      <c r="K294" t="s" s="1">
        <v>560</v>
      </c>
      <c r="L294" t="s" s="1">
        <v>1093</v>
      </c>
      <c r="M294" t="n" s="7">
        <v>228499.98</v>
      </c>
      <c r="N294" t="n" s="6">
        <v>45566.0</v>
      </c>
      <c r="O294" t="n" s="6">
        <v>45657.0</v>
      </c>
      <c r="P294" t="s" s="1">
        <v>2036</v>
      </c>
    </row>
    <row r="295" spans="1:16">
      <c r="A295" t="n" s="4">
        <v>291</v>
      </c>
      <c r="B295" s="2">
        <f>HYPERLINK("https://my.zakupivli.pro/remote/dispatcher/state_purchase_view/53883655", "UA-2024-10-09-010796-a")</f>
        <v/>
      </c>
      <c r="C295" t="s" s="2">
        <v>1795</v>
      </c>
      <c r="D295" s="2">
        <f>HYPERLINK("https://my.zakupivli.pro/remote/dispatcher/state_contracting_view/21702469", "UA-2024-10-09-010796-a-a1")</f>
        <v/>
      </c>
      <c r="E295" t="s" s="1">
        <v>1617</v>
      </c>
      <c r="F295" t="s" s="1">
        <v>512</v>
      </c>
      <c r="G295" t="s" s="1">
        <v>512</v>
      </c>
      <c r="H295" t="s" s="1">
        <v>510</v>
      </c>
      <c r="I295" t="s" s="1">
        <v>1729</v>
      </c>
      <c r="J295" t="s" s="1">
        <v>1661</v>
      </c>
      <c r="K295" t="s" s="1">
        <v>351</v>
      </c>
      <c r="L295" t="s" s="1">
        <v>1122</v>
      </c>
      <c r="M295" t="n" s="4">
        <v>48000</v>
      </c>
      <c r="N295" t="n" s="6">
        <v>45573.0</v>
      </c>
      <c r="O295" t="n" s="6">
        <v>45657.0</v>
      </c>
      <c r="P295" t="s" s="1">
        <v>2009</v>
      </c>
    </row>
    <row r="296" spans="1:16">
      <c r="A296" t="n" s="4">
        <v>292</v>
      </c>
      <c r="B296" s="2">
        <f>HYPERLINK("https://my.zakupivli.pro/remote/dispatcher/state_purchase_view/54808673", "UA-2024-11-14-008816-a")</f>
        <v/>
      </c>
      <c r="C296" t="s" s="2">
        <v>1795</v>
      </c>
      <c r="D296" s="2">
        <f>HYPERLINK("https://my.zakupivli.pro/remote/dispatcher/state_contracting_view/22101242", "UA-2024-11-14-008816-a-c1")</f>
        <v/>
      </c>
      <c r="E296" t="s" s="1">
        <v>1623</v>
      </c>
      <c r="F296" t="s" s="1">
        <v>1338</v>
      </c>
      <c r="G296" t="s" s="1">
        <v>2055</v>
      </c>
      <c r="H296" t="s" s="1">
        <v>1343</v>
      </c>
      <c r="I296" t="s" s="1">
        <v>1729</v>
      </c>
      <c r="J296" t="s" s="1">
        <v>1711</v>
      </c>
      <c r="K296" t="s" s="1">
        <v>33</v>
      </c>
      <c r="L296" t="s" s="1">
        <v>1772</v>
      </c>
      <c r="M296" t="n" s="7">
        <v>147.82</v>
      </c>
      <c r="N296" t="n" s="6">
        <v>45609.0</v>
      </c>
      <c r="O296" t="n" s="6">
        <v>45657.0</v>
      </c>
      <c r="P296" t="s" s="1">
        <v>2009</v>
      </c>
    </row>
    <row r="297" spans="1:16">
      <c r="A297" t="n" s="4">
        <v>293</v>
      </c>
      <c r="B297" s="2">
        <f>HYPERLINK("https://my.zakupivli.pro/remote/dispatcher/state_purchase_view/56212653", "UA-2024-12-26-010779-a")</f>
        <v/>
      </c>
      <c r="C297" t="s" s="2">
        <v>1795</v>
      </c>
      <c r="D297" s="2">
        <f>HYPERLINK("https://my.zakupivli.pro/remote/dispatcher/state_contracting_view/22713480", "UA-2024-12-26-010779-a-b1")</f>
        <v/>
      </c>
      <c r="E297" t="s" s="1">
        <v>1505</v>
      </c>
      <c r="F297" t="s" s="1">
        <v>276</v>
      </c>
      <c r="G297" t="s" s="1">
        <v>1725</v>
      </c>
      <c r="H297" t="s" s="1">
        <v>275</v>
      </c>
      <c r="I297" t="s" s="1">
        <v>1729</v>
      </c>
      <c r="J297" t="s" s="1">
        <v>1786</v>
      </c>
      <c r="K297" t="s" s="1">
        <v>313</v>
      </c>
      <c r="L297" t="s" s="1">
        <v>1249</v>
      </c>
      <c r="M297" t="n" s="4">
        <v>3840</v>
      </c>
      <c r="N297" t="n" s="6">
        <v>45652.0</v>
      </c>
      <c r="O297" t="n" s="6">
        <v>45657.0</v>
      </c>
      <c r="P297" t="s" s="1">
        <v>2009</v>
      </c>
    </row>
    <row r="298" spans="1:16">
      <c r="A298" t="n" s="4">
        <v>294</v>
      </c>
      <c r="B298" s="2">
        <f>HYPERLINK("https://my.zakupivli.pro/remote/dispatcher/state_purchase_view/48827227", "UA-2024-01-31-008588-a")</f>
        <v/>
      </c>
      <c r="C298" t="s" s="2">
        <v>1795</v>
      </c>
      <c r="D298" s="2">
        <f>HYPERLINK("https://my.zakupivli.pro/remote/dispatcher/state_contracting_view/19104762", "UA-2024-01-31-008588-a-a1")</f>
        <v/>
      </c>
      <c r="E298" t="s" s="1">
        <v>1550</v>
      </c>
      <c r="F298" t="s" s="1">
        <v>1221</v>
      </c>
      <c r="G298" t="s" s="1">
        <v>1225</v>
      </c>
      <c r="H298" t="s" s="1">
        <v>1223</v>
      </c>
      <c r="I298" t="s" s="1">
        <v>1729</v>
      </c>
      <c r="J298" t="s" s="1">
        <v>1811</v>
      </c>
      <c r="K298" t="s" s="1">
        <v>260</v>
      </c>
      <c r="L298" t="s" s="1">
        <v>1052</v>
      </c>
      <c r="M298" t="n" s="7">
        <v>36000.0</v>
      </c>
      <c r="N298" t="n" s="6">
        <v>45320.0</v>
      </c>
      <c r="O298" t="n" s="6">
        <v>45657.0</v>
      </c>
      <c r="P298" t="s" s="1">
        <v>2036</v>
      </c>
    </row>
    <row r="299" spans="1:16">
      <c r="A299" t="n" s="4">
        <v>295</v>
      </c>
      <c r="B299" s="2">
        <f>HYPERLINK("https://my.zakupivli.pro/remote/dispatcher/state_purchase_view/53867507", "UA-2024-10-09-003370-a")</f>
        <v/>
      </c>
      <c r="C299" s="2">
        <f>HYPERLINK("https://my.zakupivli.pro/remote/dispatcher/state_purchase_lot_view/1416814", "UA-2024-10-09-003370-a-L1416814")</f>
        <v/>
      </c>
      <c r="D299" s="2">
        <f>HYPERLINK("https://my.zakupivli.pro/remote/dispatcher/state_contracting_view/21792442", "UA-2024-10-09-003370-a-a1")</f>
        <v/>
      </c>
      <c r="E299" t="s" s="1">
        <v>1601</v>
      </c>
      <c r="F299" t="s" s="1">
        <v>898</v>
      </c>
      <c r="G299" t="s" s="1">
        <v>900</v>
      </c>
      <c r="H299" t="s" s="1">
        <v>899</v>
      </c>
      <c r="I299" t="s" s="1">
        <v>1697</v>
      </c>
      <c r="J299" t="s" s="1">
        <v>2003</v>
      </c>
      <c r="K299" t="s" s="1">
        <v>1053</v>
      </c>
      <c r="L299" t="s" s="1">
        <v>1143</v>
      </c>
      <c r="M299" t="n" s="7">
        <v>327792.0</v>
      </c>
      <c r="N299" t="n" s="6">
        <v>45590.0</v>
      </c>
      <c r="O299" t="n" s="6">
        <v>45657.0</v>
      </c>
      <c r="P299" t="s" s="1">
        <v>2036</v>
      </c>
    </row>
    <row r="300" spans="1:16">
      <c r="A300" t="n" s="4">
        <v>296</v>
      </c>
      <c r="B300" s="2">
        <f>HYPERLINK("https://my.zakupivli.pro/remote/dispatcher/state_purchase_view/53714424", "UA-2024-10-02-003913-a")</f>
        <v/>
      </c>
      <c r="C300" s="2">
        <f>HYPERLINK("https://my.zakupivli.pro/remote/dispatcher/state_purchase_lot_view/1409683", "UA-2024-10-02-003913-a-L1409683")</f>
        <v/>
      </c>
      <c r="D300" s="2">
        <f>HYPERLINK("https://my.zakupivli.pro/remote/dispatcher/state_contracting_view/21757672", "UA-2024-10-02-003913-a-c1")</f>
        <v/>
      </c>
      <c r="E300" t="s" s="1">
        <v>1554</v>
      </c>
      <c r="F300" t="s" s="1">
        <v>455</v>
      </c>
      <c r="G300" t="s" s="1">
        <v>1694</v>
      </c>
      <c r="H300" t="s" s="1">
        <v>457</v>
      </c>
      <c r="I300" t="s" s="1">
        <v>1697</v>
      </c>
      <c r="J300" t="s" s="1">
        <v>1881</v>
      </c>
      <c r="K300" t="s" s="1">
        <v>810</v>
      </c>
      <c r="L300" t="s" s="1">
        <v>1141</v>
      </c>
      <c r="M300" t="n" s="7">
        <v>31182.48</v>
      </c>
      <c r="N300" t="n" s="6">
        <v>45589.0</v>
      </c>
      <c r="O300" t="n" s="6">
        <v>45657.0</v>
      </c>
      <c r="P300" t="s" s="1">
        <v>2036</v>
      </c>
    </row>
    <row r="301" spans="1:16">
      <c r="A301" t="n" s="4">
        <v>297</v>
      </c>
      <c r="B301" s="2">
        <f>HYPERLINK("https://my.zakupivli.pro/remote/dispatcher/state_purchase_view/47755226", "UA-2023-12-18-018153-a")</f>
        <v/>
      </c>
      <c r="C301" s="2">
        <f>HYPERLINK("https://my.zakupivli.pro/remote/dispatcher/state_purchase_lot_view/1152952", "UA-2023-12-18-018153-a-L1152952")</f>
        <v/>
      </c>
      <c r="D301" s="2">
        <f>HYPERLINK("https://my.zakupivli.pro/remote/dispatcher/state_contracting_view/18885421", "UA-2023-12-18-018153-a-b1")</f>
        <v/>
      </c>
      <c r="E301" t="s" s="1">
        <v>1557</v>
      </c>
      <c r="F301" t="s" s="1">
        <v>878</v>
      </c>
      <c r="G301" t="s" s="1">
        <v>881</v>
      </c>
      <c r="H301" t="s" s="1">
        <v>880</v>
      </c>
      <c r="I301" t="s" s="1">
        <v>1697</v>
      </c>
      <c r="J301" t="s" s="1">
        <v>1766</v>
      </c>
      <c r="K301" t="s" s="1">
        <v>823</v>
      </c>
      <c r="L301" t="s" s="1">
        <v>300</v>
      </c>
      <c r="M301" t="n" s="7">
        <v>62265.0</v>
      </c>
      <c r="N301" t="n" s="6">
        <v>45303.0</v>
      </c>
      <c r="O301" t="n" s="6">
        <v>45657.0</v>
      </c>
      <c r="P301" t="s" s="1">
        <v>2036</v>
      </c>
    </row>
    <row r="302" spans="1:16">
      <c r="A302" t="n" s="4">
        <v>298</v>
      </c>
      <c r="B302" s="2">
        <f>HYPERLINK("https://my.zakupivli.pro/remote/dispatcher/state_purchase_view/49692484", "UA-2024-03-11-001313-a")</f>
        <v/>
      </c>
      <c r="C302" s="2">
        <f>HYPERLINK("https://my.zakupivli.pro/remote/dispatcher/state_purchase_lot_view/1227612", "UA-2024-03-11-001313-a-L1227612")</f>
        <v/>
      </c>
      <c r="D302" s="2">
        <f>HYPERLINK("https://my.zakupivli.pro/remote/dispatcher/state_contracting_view/19646256", "UA-2024-03-11-001313-a-a1")</f>
        <v/>
      </c>
      <c r="E302" t="s" s="1">
        <v>1657</v>
      </c>
      <c r="F302" t="s" s="1">
        <v>106</v>
      </c>
      <c r="G302" t="s" s="1">
        <v>2087</v>
      </c>
      <c r="H302" t="s" s="1">
        <v>108</v>
      </c>
      <c r="I302" t="s" s="1">
        <v>1697</v>
      </c>
      <c r="J302" t="s" s="1">
        <v>1958</v>
      </c>
      <c r="K302" t="s" s="1">
        <v>995</v>
      </c>
      <c r="L302" t="s" s="1">
        <v>168</v>
      </c>
      <c r="M302" t="n" s="7">
        <v>240000.0</v>
      </c>
      <c r="N302" t="n" s="6">
        <v>45379.0</v>
      </c>
      <c r="O302" t="n" s="6">
        <v>45657.0</v>
      </c>
      <c r="P302" t="s" s="1">
        <v>2036</v>
      </c>
    </row>
    <row r="303" spans="1:16">
      <c r="A303" t="n" s="4">
        <v>299</v>
      </c>
      <c r="B303" s="2">
        <f>HYPERLINK("https://my.zakupivli.pro/remote/dispatcher/state_purchase_view/48246725", "UA-2024-01-10-000497-a")</f>
        <v/>
      </c>
      <c r="C303" t="s" s="2">
        <v>1795</v>
      </c>
      <c r="D303" s="2">
        <f>HYPERLINK("https://my.zakupivli.pro/remote/dispatcher/state_contracting_view/18862396", "UA-2024-01-10-000497-a-b1")</f>
        <v/>
      </c>
      <c r="E303" t="s" s="1">
        <v>1471</v>
      </c>
      <c r="F303" t="s" s="1">
        <v>1062</v>
      </c>
      <c r="G303" t="s" s="1">
        <v>1062</v>
      </c>
      <c r="H303" t="s" s="1">
        <v>1061</v>
      </c>
      <c r="I303" t="s" s="1">
        <v>1729</v>
      </c>
      <c r="J303" t="s" s="1">
        <v>1813</v>
      </c>
      <c r="K303" t="s" s="1">
        <v>154</v>
      </c>
      <c r="L303" t="s" s="1">
        <v>1230</v>
      </c>
      <c r="M303" t="n" s="7">
        <v>4320.0</v>
      </c>
      <c r="N303" t="n" s="6">
        <v>45300.0</v>
      </c>
      <c r="O303" t="n" s="6">
        <v>45657.0</v>
      </c>
      <c r="P303" t="s" s="1">
        <v>2009</v>
      </c>
    </row>
    <row r="304" spans="1:16">
      <c r="A304" t="n" s="4">
        <v>300</v>
      </c>
      <c r="B304" s="2">
        <f>HYPERLINK("https://my.zakupivli.pro/remote/dispatcher/state_purchase_view/49010636", "UA-2024-02-07-010312-a")</f>
        <v/>
      </c>
      <c r="C304" t="s" s="2">
        <v>1795</v>
      </c>
      <c r="D304" s="2">
        <f>HYPERLINK("https://my.zakupivli.pro/remote/dispatcher/state_contracting_view/19183244", "UA-2024-02-07-010312-a-a1")</f>
        <v/>
      </c>
      <c r="E304" t="s" s="1">
        <v>148</v>
      </c>
      <c r="F304" t="s" s="1">
        <v>266</v>
      </c>
      <c r="G304" t="s" s="1">
        <v>1731</v>
      </c>
      <c r="H304" t="s" s="1">
        <v>265</v>
      </c>
      <c r="I304" t="s" s="1">
        <v>1729</v>
      </c>
      <c r="J304" t="s" s="1">
        <v>1671</v>
      </c>
      <c r="K304" t="s" s="1">
        <v>257</v>
      </c>
      <c r="L304" t="s" s="1">
        <v>397</v>
      </c>
      <c r="M304" t="n" s="7">
        <v>13365.0</v>
      </c>
      <c r="N304" t="n" s="6">
        <v>45329.0</v>
      </c>
      <c r="O304" t="n" s="6">
        <v>45657.0</v>
      </c>
      <c r="P304" t="s" s="1">
        <v>2009</v>
      </c>
    </row>
    <row r="305" spans="1:16">
      <c r="A305" t="n" s="4">
        <v>301</v>
      </c>
      <c r="B305" s="2">
        <f>HYPERLINK("https://my.zakupivli.pro/remote/dispatcher/state_purchase_view/49296011", "UA-2024-02-20-007374-a")</f>
        <v/>
      </c>
      <c r="C305" t="s" s="2">
        <v>1795</v>
      </c>
      <c r="D305" s="2">
        <f>HYPERLINK("https://my.zakupivli.pro/remote/dispatcher/state_contracting_view/19305896", "UA-2024-02-20-007374-a-a1")</f>
        <v/>
      </c>
      <c r="E305" t="s" s="1">
        <v>1596</v>
      </c>
      <c r="F305" t="s" s="1">
        <v>208</v>
      </c>
      <c r="G305" t="s" s="1">
        <v>208</v>
      </c>
      <c r="H305" t="s" s="1">
        <v>206</v>
      </c>
      <c r="I305" t="s" s="1">
        <v>1729</v>
      </c>
      <c r="J305" t="s" s="1">
        <v>1742</v>
      </c>
      <c r="K305" t="s" s="1">
        <v>253</v>
      </c>
      <c r="L305" t="s" s="1">
        <v>78</v>
      </c>
      <c r="M305" t="n" s="7">
        <v>8400.0</v>
      </c>
      <c r="N305" t="n" s="6">
        <v>45341.0</v>
      </c>
      <c r="O305" t="n" s="6">
        <v>45657.0</v>
      </c>
      <c r="P305" t="s" s="1">
        <v>2009</v>
      </c>
    </row>
    <row r="306" spans="1:16">
      <c r="A306" t="n" s="4">
        <v>302</v>
      </c>
      <c r="B306" s="2">
        <f>HYPERLINK("https://my.zakupivli.pro/remote/dispatcher/state_purchase_view/49316482", "UA-2024-02-21-002042-a")</f>
        <v/>
      </c>
      <c r="C306" t="s" s="2">
        <v>1795</v>
      </c>
      <c r="D306" s="2">
        <f>HYPERLINK("https://my.zakupivli.pro/remote/dispatcher/state_contracting_view/19314750", "UA-2024-02-21-002042-a-a1")</f>
        <v/>
      </c>
      <c r="E306" t="s" s="1">
        <v>1538</v>
      </c>
      <c r="F306" t="s" s="1">
        <v>626</v>
      </c>
      <c r="G306" t="s" s="1">
        <v>628</v>
      </c>
      <c r="H306" t="s" s="1">
        <v>627</v>
      </c>
      <c r="I306" t="s" s="1">
        <v>1729</v>
      </c>
      <c r="J306" t="s" s="1">
        <v>1740</v>
      </c>
      <c r="K306" t="s" s="1">
        <v>376</v>
      </c>
      <c r="L306" t="s" s="1">
        <v>85</v>
      </c>
      <c r="M306" t="n" s="7">
        <v>95868.0</v>
      </c>
      <c r="N306" t="n" s="6">
        <v>45342.0</v>
      </c>
      <c r="O306" t="n" s="6">
        <v>45657.0</v>
      </c>
      <c r="P306" t="s" s="1">
        <v>2009</v>
      </c>
    </row>
    <row r="307" spans="1:16">
      <c r="A307" t="n" s="4">
        <v>303</v>
      </c>
      <c r="B307" s="2">
        <f>HYPERLINK("https://my.zakupivli.pro/remote/dispatcher/state_purchase_view/49649148", "UA-2024-03-07-003555-a")</f>
        <v/>
      </c>
      <c r="C307" t="s" s="2">
        <v>1795</v>
      </c>
      <c r="D307" s="2">
        <f>HYPERLINK("https://my.zakupivli.pro/remote/dispatcher/state_contracting_view/19457364", "UA-2024-03-07-003555-a-b1")</f>
        <v/>
      </c>
      <c r="E307" t="s" s="1">
        <v>1593</v>
      </c>
      <c r="F307" t="s" s="1">
        <v>735</v>
      </c>
      <c r="G307" t="s" s="1">
        <v>9</v>
      </c>
      <c r="H307" t="s" s="1">
        <v>742</v>
      </c>
      <c r="I307" t="s" s="1">
        <v>1729</v>
      </c>
      <c r="J307" t="s" s="1">
        <v>1917</v>
      </c>
      <c r="K307" t="s" s="1">
        <v>546</v>
      </c>
      <c r="L307" t="s" s="1">
        <v>271</v>
      </c>
      <c r="M307" t="n" s="7">
        <v>6661.34</v>
      </c>
      <c r="N307" t="n" s="6">
        <v>45357.0</v>
      </c>
      <c r="O307" t="n" s="6">
        <v>45657.0</v>
      </c>
      <c r="P307" t="s" s="1">
        <v>2009</v>
      </c>
    </row>
    <row r="308" spans="1:16">
      <c r="A308" t="n" s="4">
        <v>304</v>
      </c>
      <c r="B308" s="2">
        <f>HYPERLINK("https://my.zakupivli.pro/remote/dispatcher/state_purchase_view/49704718", "UA-2024-03-11-006594-a")</f>
        <v/>
      </c>
      <c r="C308" t="s" s="2">
        <v>1795</v>
      </c>
      <c r="D308" s="2">
        <f>HYPERLINK("https://my.zakupivli.pro/remote/dispatcher/state_contracting_view/19481415", "UA-2024-03-11-006594-a-b1")</f>
        <v/>
      </c>
      <c r="E308" t="s" s="1">
        <v>290</v>
      </c>
      <c r="F308" t="s" s="1">
        <v>780</v>
      </c>
      <c r="G308" t="s" s="1">
        <v>782</v>
      </c>
      <c r="H308" t="s" s="1">
        <v>781</v>
      </c>
      <c r="I308" t="s" s="1">
        <v>1729</v>
      </c>
      <c r="J308" t="s" s="1">
        <v>1799</v>
      </c>
      <c r="K308" t="s" s="1">
        <v>339</v>
      </c>
      <c r="L308" t="s" s="1">
        <v>138</v>
      </c>
      <c r="M308" t="n" s="7">
        <v>33000.0</v>
      </c>
      <c r="N308" t="n" s="6">
        <v>45359.0</v>
      </c>
      <c r="O308" t="n" s="6">
        <v>45657.0</v>
      </c>
      <c r="P308" t="s" s="1">
        <v>2009</v>
      </c>
    </row>
    <row r="309" spans="1:16">
      <c r="A309" t="n" s="4">
        <v>305</v>
      </c>
      <c r="B309" s="2">
        <f>HYPERLINK("https://my.zakupivli.pro/remote/dispatcher/state_purchase_view/49064151", "UA-2024-02-09-003411-a")</f>
        <v/>
      </c>
      <c r="C309" t="s" s="2">
        <v>1795</v>
      </c>
      <c r="D309" s="2">
        <f>HYPERLINK("https://my.zakupivli.pro/remote/dispatcher/state_contracting_view/19206119", "UA-2024-02-09-003411-a-c1")</f>
        <v/>
      </c>
      <c r="E309" t="s" s="1">
        <v>1586</v>
      </c>
      <c r="F309" t="s" s="1">
        <v>447</v>
      </c>
      <c r="G309" t="s" s="1">
        <v>450</v>
      </c>
      <c r="H309" t="s" s="1">
        <v>449</v>
      </c>
      <c r="I309" t="s" s="1">
        <v>1729</v>
      </c>
      <c r="J309" t="s" s="1">
        <v>1906</v>
      </c>
      <c r="K309" t="s" s="1">
        <v>882</v>
      </c>
      <c r="L309" t="s" s="1">
        <v>1490</v>
      </c>
      <c r="M309" t="n" s="7">
        <v>8500.0</v>
      </c>
      <c r="N309" t="n" s="6">
        <v>45331.0</v>
      </c>
      <c r="O309" t="n" s="6">
        <v>45657.0</v>
      </c>
      <c r="P309" t="s" s="1">
        <v>2009</v>
      </c>
    </row>
    <row r="310" spans="1:16">
      <c r="A310" t="n" s="4">
        <v>306</v>
      </c>
      <c r="B310" s="2">
        <f>HYPERLINK("https://my.zakupivli.pro/remote/dispatcher/state_purchase_view/49647881", "UA-2024-03-07-003025-a")</f>
        <v/>
      </c>
      <c r="C310" t="s" s="2">
        <v>1795</v>
      </c>
      <c r="D310" s="2">
        <f>HYPERLINK("https://my.zakupivli.pro/remote/dispatcher/state_contracting_view/19456880", "UA-2024-03-07-003025-a-b1")</f>
        <v/>
      </c>
      <c r="E310" t="s" s="1">
        <v>1595</v>
      </c>
      <c r="F310" t="s" s="1">
        <v>1363</v>
      </c>
      <c r="G310" t="s" s="1">
        <v>1363</v>
      </c>
      <c r="H310" t="s" s="1">
        <v>1360</v>
      </c>
      <c r="I310" t="s" s="1">
        <v>1729</v>
      </c>
      <c r="J310" t="s" s="1">
        <v>1708</v>
      </c>
      <c r="K310" t="s" s="1">
        <v>685</v>
      </c>
      <c r="L310" t="s" s="1">
        <v>680</v>
      </c>
      <c r="M310" t="n" s="7">
        <v>6559.2</v>
      </c>
      <c r="N310" t="n" s="6">
        <v>45356.0</v>
      </c>
      <c r="O310" t="n" s="6">
        <v>45657.0</v>
      </c>
      <c r="P310" t="s" s="1">
        <v>2009</v>
      </c>
    </row>
    <row r="311" spans="1:16">
      <c r="A311" t="n" s="4">
        <v>307</v>
      </c>
      <c r="B311" s="2">
        <f>HYPERLINK("https://my.zakupivli.pro/remote/dispatcher/state_purchase_view/49646924", "UA-2024-03-07-002494-a")</f>
        <v/>
      </c>
      <c r="C311" t="s" s="2">
        <v>1795</v>
      </c>
      <c r="D311" s="2">
        <f>HYPERLINK("https://my.zakupivli.pro/remote/dispatcher/state_contracting_view/19456384", "UA-2024-03-07-002494-a-b1")</f>
        <v/>
      </c>
      <c r="E311" t="s" s="1">
        <v>1576</v>
      </c>
      <c r="F311" t="s" s="1">
        <v>27</v>
      </c>
      <c r="G311" t="s" s="1">
        <v>27</v>
      </c>
      <c r="H311" t="s" s="1">
        <v>25</v>
      </c>
      <c r="I311" t="s" s="1">
        <v>1729</v>
      </c>
      <c r="J311" t="s" s="1">
        <v>1770</v>
      </c>
      <c r="K311" t="s" s="1">
        <v>416</v>
      </c>
      <c r="L311" t="s" s="1">
        <v>134</v>
      </c>
      <c r="M311" t="n" s="7">
        <v>1800.0</v>
      </c>
      <c r="N311" t="n" s="6">
        <v>45357.0</v>
      </c>
      <c r="O311" t="n" s="6">
        <v>45657.0</v>
      </c>
      <c r="P311" t="s" s="1">
        <v>2009</v>
      </c>
    </row>
    <row r="312" spans="1:16">
      <c r="A312" t="n" s="4">
        <v>308</v>
      </c>
      <c r="B312" s="2">
        <f>HYPERLINK("https://my.zakupivli.pro/remote/dispatcher/state_purchase_view/49933595", "UA-2024-03-21-001213-a")</f>
        <v/>
      </c>
      <c r="C312" t="s" s="2">
        <v>1795</v>
      </c>
      <c r="D312" s="2">
        <f>HYPERLINK("https://my.zakupivli.pro/remote/dispatcher/state_contracting_view/19579259", "UA-2024-03-21-001213-a-b1")</f>
        <v/>
      </c>
      <c r="E312" t="s" s="1">
        <v>1083</v>
      </c>
      <c r="F312" t="s" s="1">
        <v>850</v>
      </c>
      <c r="G312" t="s" s="1">
        <v>852</v>
      </c>
      <c r="H312" t="s" s="1">
        <v>851</v>
      </c>
      <c r="I312" t="s" s="1">
        <v>1729</v>
      </c>
      <c r="J312" t="s" s="1">
        <v>1661</v>
      </c>
      <c r="K312" t="s" s="1">
        <v>351</v>
      </c>
      <c r="L312" t="s" s="1">
        <v>153</v>
      </c>
      <c r="M312" t="n" s="7">
        <v>35000.0</v>
      </c>
      <c r="N312" t="n" s="6">
        <v>45370.0</v>
      </c>
      <c r="O312" t="n" s="6">
        <v>45657.0</v>
      </c>
      <c r="P312" t="s" s="1">
        <v>2009</v>
      </c>
    </row>
    <row r="313" spans="1:16">
      <c r="A313" t="n" s="4">
        <v>309</v>
      </c>
      <c r="B313" s="2">
        <f>HYPERLINK("https://my.zakupivli.pro/remote/dispatcher/state_purchase_view/49934206", "UA-2024-03-21-001474-a")</f>
        <v/>
      </c>
      <c r="C313" t="s" s="2">
        <v>1795</v>
      </c>
      <c r="D313" s="2">
        <f>HYPERLINK("https://my.zakupivli.pro/remote/dispatcher/state_contracting_view/19579524", "UA-2024-03-21-001474-a-a1")</f>
        <v/>
      </c>
      <c r="E313" t="s" s="1">
        <v>1530</v>
      </c>
      <c r="F313" t="s" s="1">
        <v>185</v>
      </c>
      <c r="G313" t="s" s="1">
        <v>187</v>
      </c>
      <c r="H313" t="s" s="1">
        <v>186</v>
      </c>
      <c r="I313" t="s" s="1">
        <v>1729</v>
      </c>
      <c r="J313" t="s" s="1">
        <v>1815</v>
      </c>
      <c r="K313" t="s" s="1">
        <v>648</v>
      </c>
      <c r="L313" t="s" s="1">
        <v>152</v>
      </c>
      <c r="M313" t="n" s="7">
        <v>22500.0</v>
      </c>
      <c r="N313" t="n" s="6">
        <v>45370.0</v>
      </c>
      <c r="O313" t="n" s="6">
        <v>45657.0</v>
      </c>
      <c r="P313" t="s" s="1">
        <v>2009</v>
      </c>
    </row>
    <row r="314" spans="1:16">
      <c r="A314" t="n" s="4">
        <v>310</v>
      </c>
      <c r="B314" s="2">
        <f>HYPERLINK("https://my.zakupivli.pro/remote/dispatcher/state_purchase_view/50109952", "UA-2024-03-29-005428-a")</f>
        <v/>
      </c>
      <c r="C314" t="s" s="2">
        <v>1795</v>
      </c>
      <c r="D314" s="2">
        <f>HYPERLINK("https://my.zakupivli.pro/remote/dispatcher/state_contracting_view/19656417", "UA-2024-03-29-005428-a-a1")</f>
        <v/>
      </c>
      <c r="E314" t="s" s="1">
        <v>1546</v>
      </c>
      <c r="F314" t="s" s="1">
        <v>750</v>
      </c>
      <c r="G314" t="s" s="1">
        <v>752</v>
      </c>
      <c r="H314" t="s" s="1">
        <v>751</v>
      </c>
      <c r="I314" t="s" s="1">
        <v>1729</v>
      </c>
      <c r="J314" t="s" s="1">
        <v>1663</v>
      </c>
      <c r="K314" t="s" s="1">
        <v>370</v>
      </c>
      <c r="L314" t="s" s="1">
        <v>170</v>
      </c>
      <c r="M314" t="n" s="7">
        <v>12780.0</v>
      </c>
      <c r="N314" t="n" s="6">
        <v>45379.0</v>
      </c>
      <c r="O314" t="n" s="6">
        <v>45657.0</v>
      </c>
      <c r="P314" t="s" s="1">
        <v>2009</v>
      </c>
    </row>
    <row r="315" spans="1:16">
      <c r="A315" t="n" s="4">
        <v>311</v>
      </c>
      <c r="B315" s="2">
        <f>HYPERLINK("https://my.zakupivli.pro/remote/dispatcher/state_purchase_view/48848296", "UA-2024-02-01-002995-a")</f>
        <v/>
      </c>
      <c r="C315" t="s" s="2">
        <v>1795</v>
      </c>
      <c r="D315" s="2">
        <f>HYPERLINK("https://my.zakupivli.pro/remote/dispatcher/state_contracting_view/19113915", "UA-2024-02-01-002995-a-b1")</f>
        <v/>
      </c>
      <c r="E315" t="s" s="1">
        <v>1634</v>
      </c>
      <c r="F315" t="s" s="1">
        <v>708</v>
      </c>
      <c r="G315" t="s" s="1">
        <v>710</v>
      </c>
      <c r="H315" t="s" s="1">
        <v>709</v>
      </c>
      <c r="I315" t="s" s="1">
        <v>1729</v>
      </c>
      <c r="J315" t="s" s="1">
        <v>1809</v>
      </c>
      <c r="K315" t="s" s="1">
        <v>297</v>
      </c>
      <c r="L315" t="s" s="1">
        <v>1248</v>
      </c>
      <c r="M315" t="n" s="7">
        <v>28770.0</v>
      </c>
      <c r="N315" t="n" s="6">
        <v>45321.0</v>
      </c>
      <c r="O315" t="n" s="6">
        <v>45657.0</v>
      </c>
      <c r="P315" t="s" s="1">
        <v>2009</v>
      </c>
    </row>
    <row r="316" spans="1:16">
      <c r="A316" t="n" s="4">
        <v>312</v>
      </c>
      <c r="B316" s="2">
        <f>HYPERLINK("https://my.zakupivli.pro/remote/dispatcher/state_purchase_view/48396753", "UA-2024-01-16-011969-a")</f>
        <v/>
      </c>
      <c r="C316" t="s" s="2">
        <v>1795</v>
      </c>
      <c r="D316" s="2">
        <f>HYPERLINK("https://my.zakupivli.pro/remote/dispatcher/state_contracting_view/18921504", "UA-2024-01-16-011969-a-a1")</f>
        <v/>
      </c>
      <c r="E316" t="s" s="1">
        <v>1171</v>
      </c>
      <c r="F316" t="s" s="1">
        <v>903</v>
      </c>
      <c r="G316" t="s" s="1">
        <v>904</v>
      </c>
      <c r="H316" t="s" s="1">
        <v>905</v>
      </c>
      <c r="I316" t="s" s="1">
        <v>1729</v>
      </c>
      <c r="J316" t="s" s="1">
        <v>1922</v>
      </c>
      <c r="K316" t="s" s="1">
        <v>756</v>
      </c>
      <c r="L316" t="s" s="1">
        <v>555</v>
      </c>
      <c r="M316" t="n" s="7">
        <v>1900.0</v>
      </c>
      <c r="N316" t="n" s="6">
        <v>45306.0</v>
      </c>
      <c r="O316" t="n" s="6">
        <v>45657.0</v>
      </c>
      <c r="P316" t="s" s="1">
        <v>2009</v>
      </c>
    </row>
    <row r="317" spans="1:16">
      <c r="A317" t="n" s="4">
        <v>313</v>
      </c>
      <c r="B317" s="2">
        <f>HYPERLINK("https://my.zakupivli.pro/remote/dispatcher/state_purchase_view/48417645", "UA-2024-01-17-003731-a")</f>
        <v/>
      </c>
      <c r="C317" t="s" s="2">
        <v>1795</v>
      </c>
      <c r="D317" s="2">
        <f>HYPERLINK("https://my.zakupivli.pro/remote/dispatcher/state_contracting_view/18929667", "UA-2024-01-17-003731-a-a1")</f>
        <v/>
      </c>
      <c r="E317" t="s" s="1">
        <v>1129</v>
      </c>
      <c r="F317" t="s" s="1">
        <v>129</v>
      </c>
      <c r="G317" t="s" s="1">
        <v>129</v>
      </c>
      <c r="H317" t="s" s="1">
        <v>128</v>
      </c>
      <c r="I317" t="s" s="1">
        <v>1729</v>
      </c>
      <c r="J317" t="s" s="1">
        <v>1931</v>
      </c>
      <c r="K317" t="s" s="1">
        <v>824</v>
      </c>
      <c r="L317" t="s" s="1">
        <v>630</v>
      </c>
      <c r="M317" t="n" s="7">
        <v>38000.0</v>
      </c>
      <c r="N317" t="n" s="6">
        <v>45306.0</v>
      </c>
      <c r="O317" t="n" s="6">
        <v>45657.0</v>
      </c>
      <c r="P317" t="s" s="1">
        <v>2009</v>
      </c>
    </row>
    <row r="318" spans="1:16">
      <c r="A318" t="n" s="4">
        <v>314</v>
      </c>
      <c r="B318" s="2">
        <f>HYPERLINK("https://my.zakupivli.pro/remote/dispatcher/state_purchase_view/48316785", "UA-2024-01-12-006764-a")</f>
        <v/>
      </c>
      <c r="C318" t="s" s="2">
        <v>1795</v>
      </c>
      <c r="D318" s="2">
        <f>HYPERLINK("https://my.zakupivli.pro/remote/dispatcher/state_contracting_view/18889403", "UA-2024-01-12-006764-a-c1")</f>
        <v/>
      </c>
      <c r="E318" t="s" s="1">
        <v>229</v>
      </c>
      <c r="F318" t="s" s="1">
        <v>1455</v>
      </c>
      <c r="G318" t="s" s="1">
        <v>1460</v>
      </c>
      <c r="H318" t="s" s="1">
        <v>1459</v>
      </c>
      <c r="I318" t="s" s="1">
        <v>1729</v>
      </c>
      <c r="J318" t="s" s="1">
        <v>1737</v>
      </c>
      <c r="K318" t="s" s="1">
        <v>545</v>
      </c>
      <c r="L318" t="s" s="1">
        <v>1403</v>
      </c>
      <c r="M318" t="n" s="7">
        <v>70000.0</v>
      </c>
      <c r="N318" t="n" s="6">
        <v>45301.0</v>
      </c>
      <c r="O318" t="n" s="6">
        <v>45657.0</v>
      </c>
      <c r="P318" t="s" s="1">
        <v>2009</v>
      </c>
    </row>
    <row r="319" spans="1:16">
      <c r="A319" t="n" s="4">
        <v>315</v>
      </c>
      <c r="B319" s="2">
        <f>HYPERLINK("https://my.zakupivli.pro/remote/dispatcher/state_purchase_view/48321133", "UA-2024-01-12-008600-a")</f>
        <v/>
      </c>
      <c r="C319" t="s" s="2">
        <v>1795</v>
      </c>
      <c r="D319" s="2">
        <f>HYPERLINK("https://my.zakupivli.pro/remote/dispatcher/state_contracting_view/18891217", "UA-2024-01-12-008600-a-a1")</f>
        <v/>
      </c>
      <c r="E319" t="s" s="1">
        <v>1573</v>
      </c>
      <c r="F319" t="s" s="1">
        <v>1456</v>
      </c>
      <c r="G319" t="s" s="1">
        <v>1462</v>
      </c>
      <c r="H319" t="s" s="1">
        <v>1463</v>
      </c>
      <c r="I319" t="s" s="1">
        <v>1729</v>
      </c>
      <c r="J319" t="s" s="1">
        <v>1737</v>
      </c>
      <c r="K319" t="s" s="1">
        <v>545</v>
      </c>
      <c r="L319" t="s" s="1">
        <v>196</v>
      </c>
      <c r="M319" t="n" s="7">
        <v>114500.0</v>
      </c>
      <c r="N319" t="n" s="6">
        <v>45301.0</v>
      </c>
      <c r="O319" t="n" s="6">
        <v>45657.0</v>
      </c>
      <c r="P319" t="s" s="1">
        <v>2009</v>
      </c>
    </row>
    <row r="320" spans="1:16">
      <c r="A320" t="n" s="4">
        <v>316</v>
      </c>
      <c r="B320" s="2">
        <f>HYPERLINK("https://my.zakupivli.pro/remote/dispatcher/state_purchase_view/48700117", "UA-2024-01-26-002195-a")</f>
        <v/>
      </c>
      <c r="C320" t="s" s="2">
        <v>1795</v>
      </c>
      <c r="D320" s="2">
        <f>HYPERLINK("https://my.zakupivli.pro/remote/dispatcher/state_contracting_view/19049553", "UA-2024-01-26-002195-a-a1")</f>
        <v/>
      </c>
      <c r="E320" t="s" s="1">
        <v>1582</v>
      </c>
      <c r="F320" t="s" s="1">
        <v>558</v>
      </c>
      <c r="G320" t="s" s="1">
        <v>1792</v>
      </c>
      <c r="H320" t="s" s="1">
        <v>559</v>
      </c>
      <c r="I320" t="s" s="1">
        <v>1729</v>
      </c>
      <c r="J320" t="s" s="1">
        <v>1820</v>
      </c>
      <c r="K320" t="s" s="1">
        <v>250</v>
      </c>
      <c r="L320" t="s" s="1">
        <v>1130</v>
      </c>
      <c r="M320" t="n" s="7">
        <v>1172.3</v>
      </c>
      <c r="N320" t="n" s="6">
        <v>45316.0</v>
      </c>
      <c r="O320" t="n" s="6">
        <v>45657.0</v>
      </c>
      <c r="P320" t="s" s="1">
        <v>2009</v>
      </c>
    </row>
    <row r="321" spans="1:16">
      <c r="A321" t="n" s="4">
        <v>317</v>
      </c>
      <c r="B321" s="2">
        <f>HYPERLINK("https://my.zakupivli.pro/remote/dispatcher/state_purchase_view/48463722", "UA-2024-01-18-005672-a")</f>
        <v/>
      </c>
      <c r="C321" t="s" s="2">
        <v>1795</v>
      </c>
      <c r="D321" s="2">
        <f>HYPERLINK("https://my.zakupivli.pro/remote/dispatcher/state_contracting_view/18949094", "UA-2024-01-18-005672-a-a1")</f>
        <v/>
      </c>
      <c r="E321" t="s" s="1">
        <v>1506</v>
      </c>
      <c r="F321" t="s" s="1">
        <v>1100</v>
      </c>
      <c r="G321" t="s" s="1">
        <v>1100</v>
      </c>
      <c r="H321" t="s" s="1">
        <v>1099</v>
      </c>
      <c r="I321" t="s" s="1">
        <v>1729</v>
      </c>
      <c r="J321" t="s" s="1">
        <v>1735</v>
      </c>
      <c r="K321" t="s" s="1">
        <v>337</v>
      </c>
      <c r="L321" t="s" s="1">
        <v>838</v>
      </c>
      <c r="M321" t="n" s="7">
        <v>49900.0</v>
      </c>
      <c r="N321" t="n" s="6">
        <v>45308.0</v>
      </c>
      <c r="O321" t="n" s="6">
        <v>45657.0</v>
      </c>
      <c r="P321" t="s" s="1">
        <v>2009</v>
      </c>
    </row>
    <row r="322" spans="1:16">
      <c r="A322" t="n" s="4">
        <v>318</v>
      </c>
      <c r="B322" s="2">
        <f>HYPERLINK("https://my.zakupivli.pro/remote/dispatcher/state_purchase_view/50910091", "UA-2024-05-09-006431-a")</f>
        <v/>
      </c>
      <c r="C322" t="s" s="2">
        <v>1795</v>
      </c>
      <c r="D322" s="2">
        <f>HYPERLINK("https://my.zakupivli.pro/remote/dispatcher/state_contracting_view/20260973", "UA-2024-05-09-006431-a-b1")</f>
        <v/>
      </c>
      <c r="E322" t="s" s="1">
        <v>1085</v>
      </c>
      <c r="F322" t="s" s="1">
        <v>1362</v>
      </c>
      <c r="G322" t="s" s="1">
        <v>1362</v>
      </c>
      <c r="H322" t="s" s="1">
        <v>1360</v>
      </c>
      <c r="I322" t="s" s="1">
        <v>1729</v>
      </c>
      <c r="J322" t="s" s="1">
        <v>1975</v>
      </c>
      <c r="K322" t="s" s="1">
        <v>548</v>
      </c>
      <c r="L322" t="s" s="1">
        <v>64</v>
      </c>
      <c r="M322" t="n" s="7">
        <v>9900.0</v>
      </c>
      <c r="N322" t="n" s="6">
        <v>45421.0</v>
      </c>
      <c r="O322" t="n" s="6">
        <v>45657.0</v>
      </c>
      <c r="P322" t="s" s="1">
        <v>2009</v>
      </c>
    </row>
    <row r="323" spans="1:16">
      <c r="A323" t="n" s="4">
        <v>319</v>
      </c>
      <c r="B323" s="2">
        <f>HYPERLINK("https://my.zakupivli.pro/remote/dispatcher/state_purchase_view/50839464", "UA-2024-05-06-005637-a")</f>
        <v/>
      </c>
      <c r="C323" t="s" s="2">
        <v>1795</v>
      </c>
      <c r="D323" s="2">
        <f>HYPERLINK("https://my.zakupivli.pro/remote/dispatcher/state_contracting_view/20230477", "UA-2024-05-06-005637-a-b1")</f>
        <v/>
      </c>
      <c r="E323" t="s" s="1">
        <v>1438</v>
      </c>
      <c r="F323" t="s" s="1">
        <v>859</v>
      </c>
      <c r="G323" t="s" s="1">
        <v>860</v>
      </c>
      <c r="H323" t="s" s="1">
        <v>859</v>
      </c>
      <c r="I323" t="s" s="1">
        <v>1729</v>
      </c>
      <c r="J323" t="s" s="1">
        <v>1945</v>
      </c>
      <c r="K323" t="s" s="1">
        <v>672</v>
      </c>
      <c r="L323" t="s" s="1">
        <v>1875</v>
      </c>
      <c r="M323" t="n" s="7">
        <v>12590.28</v>
      </c>
      <c r="N323" t="n" s="6">
        <v>45418.0</v>
      </c>
      <c r="O323" t="n" s="6">
        <v>45657.0</v>
      </c>
      <c r="P323" t="s" s="1">
        <v>2009</v>
      </c>
    </row>
    <row r="324" spans="1:16">
      <c r="A324" t="n" s="4">
        <v>320</v>
      </c>
      <c r="B324" s="2">
        <f>HYPERLINK("https://my.zakupivli.pro/remote/dispatcher/state_purchase_view/51270343", "UA-2024-05-28-001878-a")</f>
        <v/>
      </c>
      <c r="C324" t="s" s="2">
        <v>1795</v>
      </c>
      <c r="D324" s="2">
        <f>HYPERLINK("https://my.zakupivli.pro/remote/dispatcher/state_contracting_view/20573363", "UA-2024-05-28-001878-a-b1")</f>
        <v/>
      </c>
      <c r="E324" t="s" s="1">
        <v>1507</v>
      </c>
      <c r="F324" t="s" s="1">
        <v>1347</v>
      </c>
      <c r="G324" t="s" s="1">
        <v>2084</v>
      </c>
      <c r="H324" t="s" s="1">
        <v>1346</v>
      </c>
      <c r="I324" t="s" s="1">
        <v>1729</v>
      </c>
      <c r="J324" t="s" s="1">
        <v>1767</v>
      </c>
      <c r="K324" t="s" s="1">
        <v>19</v>
      </c>
      <c r="L324" t="s" s="1">
        <v>255</v>
      </c>
      <c r="M324" t="n" s="4">
        <v>30000</v>
      </c>
      <c r="N324" t="n" s="6">
        <v>45436.0</v>
      </c>
      <c r="O324" t="n" s="6">
        <v>45657.0</v>
      </c>
      <c r="P324" t="s" s="1">
        <v>2009</v>
      </c>
    </row>
    <row r="325" spans="1:16">
      <c r="A325" t="n" s="4">
        <v>321</v>
      </c>
      <c r="B325" s="2">
        <f>HYPERLINK("https://my.zakupivli.pro/remote/dispatcher/state_purchase_view/51552245", "UA-2024-06-11-006612-a")</f>
        <v/>
      </c>
      <c r="C325" t="s" s="2">
        <v>1795</v>
      </c>
      <c r="D325" s="2">
        <f>HYPERLINK("https://my.zakupivli.pro/remote/dispatcher/state_contracting_view/20695923", "UA-2024-06-11-006612-a-b1")</f>
        <v/>
      </c>
      <c r="E325" t="s" s="1">
        <v>1481</v>
      </c>
      <c r="F325" t="s" s="1">
        <v>1387</v>
      </c>
      <c r="G325" t="s" s="1">
        <v>1387</v>
      </c>
      <c r="H325" t="s" s="1">
        <v>1388</v>
      </c>
      <c r="I325" t="s" s="1">
        <v>1729</v>
      </c>
      <c r="J325" t="s" s="1">
        <v>1861</v>
      </c>
      <c r="K325" t="s" s="1">
        <v>335</v>
      </c>
      <c r="L325" t="s" s="1">
        <v>432</v>
      </c>
      <c r="M325" t="n" s="7">
        <v>49980.0</v>
      </c>
      <c r="N325" t="n" s="6">
        <v>45450.0</v>
      </c>
      <c r="O325" t="n" s="6">
        <v>45657.0</v>
      </c>
      <c r="P325" t="s" s="1">
        <v>2009</v>
      </c>
    </row>
    <row r="326" spans="1:16">
      <c r="A326" t="n" s="4">
        <v>322</v>
      </c>
      <c r="B326" s="2">
        <f>HYPERLINK("https://my.zakupivli.pro/remote/dispatcher/state_purchase_view/51791942", "UA-2024-06-24-000299-a")</f>
        <v/>
      </c>
      <c r="C326" t="s" s="2">
        <v>1795</v>
      </c>
      <c r="D326" s="2">
        <f>HYPERLINK("https://my.zakupivli.pro/remote/dispatcher/state_contracting_view/20799681", "UA-2024-06-24-000299-a-b1")</f>
        <v/>
      </c>
      <c r="E326" t="s" s="1">
        <v>1659</v>
      </c>
      <c r="F326" t="s" s="1">
        <v>1295</v>
      </c>
      <c r="G326" t="s" s="1">
        <v>2090</v>
      </c>
      <c r="H326" t="s" s="1">
        <v>1304</v>
      </c>
      <c r="I326" t="s" s="1">
        <v>1729</v>
      </c>
      <c r="J326" t="s" s="1">
        <v>1876</v>
      </c>
      <c r="K326" t="s" s="1">
        <v>398</v>
      </c>
      <c r="L326" t="s" s="1">
        <v>161</v>
      </c>
      <c r="M326" t="n" s="4">
        <v>25000</v>
      </c>
      <c r="N326" t="n" s="6">
        <v>45464.0</v>
      </c>
      <c r="O326" t="n" s="6">
        <v>45657.0</v>
      </c>
      <c r="P326" t="s" s="1">
        <v>2009</v>
      </c>
    </row>
    <row r="327" spans="1:16">
      <c r="A327" t="n" s="4">
        <v>323</v>
      </c>
      <c r="B327" s="2">
        <f>HYPERLINK("https://my.zakupivli.pro/remote/dispatcher/state_purchase_view/49427655", "UA-2024-02-26-008756-a")</f>
        <v/>
      </c>
      <c r="C327" t="s" s="2">
        <v>1795</v>
      </c>
      <c r="D327" s="2">
        <f>HYPERLINK("https://my.zakupivli.pro/remote/dispatcher/state_contracting_view/19362099", "UA-2024-02-26-008756-a-c1")</f>
        <v/>
      </c>
      <c r="E327" t="s" s="1">
        <v>1547</v>
      </c>
      <c r="F327" t="s" s="1">
        <v>1327</v>
      </c>
      <c r="G327" t="s" s="1">
        <v>1331</v>
      </c>
      <c r="H327" t="s" s="1">
        <v>1329</v>
      </c>
      <c r="I327" t="s" s="1">
        <v>1729</v>
      </c>
      <c r="J327" t="s" s="1">
        <v>1736</v>
      </c>
      <c r="K327" t="s" s="1">
        <v>204</v>
      </c>
      <c r="L327" t="s" s="1">
        <v>838</v>
      </c>
      <c r="M327" t="n" s="7">
        <v>9223.74</v>
      </c>
      <c r="N327" t="n" s="6">
        <v>45348.0</v>
      </c>
      <c r="O327" t="n" s="6">
        <v>45657.0</v>
      </c>
      <c r="P327" t="s" s="1">
        <v>2009</v>
      </c>
    </row>
    <row r="328" spans="1:16">
      <c r="A328" t="n" s="4">
        <v>324</v>
      </c>
      <c r="B328" s="2">
        <f>HYPERLINK("https://my.zakupivli.pro/remote/dispatcher/state_purchase_view/48834273", "UA-2024-01-31-011757-a")</f>
        <v/>
      </c>
      <c r="C328" t="s" s="2">
        <v>1795</v>
      </c>
      <c r="D328" s="2">
        <f>HYPERLINK("https://my.zakupivli.pro/remote/dispatcher/state_contracting_view/19107686", "UA-2024-01-31-011757-a-b1")</f>
        <v/>
      </c>
      <c r="E328" t="s" s="1">
        <v>1613</v>
      </c>
      <c r="F328" t="s" s="1">
        <v>409</v>
      </c>
      <c r="G328" t="s" s="1">
        <v>409</v>
      </c>
      <c r="H328" t="s" s="1">
        <v>405</v>
      </c>
      <c r="I328" t="s" s="1">
        <v>1729</v>
      </c>
      <c r="J328" t="s" s="1">
        <v>1937</v>
      </c>
      <c r="K328" t="s" s="1">
        <v>400</v>
      </c>
      <c r="L328" t="s" s="1">
        <v>1273</v>
      </c>
      <c r="M328" t="n" s="7">
        <v>13485.36</v>
      </c>
      <c r="N328" t="n" s="6">
        <v>45321.0</v>
      </c>
      <c r="O328" t="n" s="6">
        <v>45657.0</v>
      </c>
      <c r="P328" t="s" s="1">
        <v>2009</v>
      </c>
    </row>
    <row r="329" spans="1:16">
      <c r="A329" t="n" s="4">
        <v>325</v>
      </c>
      <c r="B329" s="2">
        <f>HYPERLINK("https://my.zakupivli.pro/remote/dispatcher/state_purchase_view/49024779", "UA-2024-02-08-001166-a")</f>
        <v/>
      </c>
      <c r="C329" t="s" s="2">
        <v>1795</v>
      </c>
      <c r="D329" s="2">
        <f>HYPERLINK("https://my.zakupivli.pro/remote/dispatcher/state_contracting_view/19189335", "UA-2024-02-08-001166-a-b1")</f>
        <v/>
      </c>
      <c r="E329" t="s" s="1">
        <v>1570</v>
      </c>
      <c r="F329" t="s" s="1">
        <v>115</v>
      </c>
      <c r="G329" t="s" s="1">
        <v>1750</v>
      </c>
      <c r="H329" t="s" s="1">
        <v>117</v>
      </c>
      <c r="I329" t="s" s="1">
        <v>1729</v>
      </c>
      <c r="J329" t="s" s="1">
        <v>1819</v>
      </c>
      <c r="K329" t="s" s="1">
        <v>870</v>
      </c>
      <c r="L329" t="s" s="1">
        <v>1482</v>
      </c>
      <c r="M329" t="n" s="7">
        <v>13965.0</v>
      </c>
      <c r="N329" t="n" s="6">
        <v>45329.0</v>
      </c>
      <c r="O329" t="n" s="6">
        <v>45657.0</v>
      </c>
      <c r="P329" t="s" s="1">
        <v>2009</v>
      </c>
    </row>
    <row r="330" spans="1:16">
      <c r="A330" t="n" s="4">
        <v>326</v>
      </c>
      <c r="B330" s="2">
        <f>HYPERLINK("https://my.zakupivli.pro/remote/dispatcher/state_purchase_view/52894521", "UA-2024-08-23-009334-a")</f>
        <v/>
      </c>
      <c r="C330" t="s" s="2">
        <v>1795</v>
      </c>
      <c r="D330" s="2">
        <f>HYPERLINK("https://my.zakupivli.pro/remote/dispatcher/state_contracting_view/21279984", "UA-2024-08-23-009334-a-c1")</f>
        <v/>
      </c>
      <c r="E330" t="s" s="1">
        <v>1625</v>
      </c>
      <c r="F330" t="s" s="1">
        <v>788</v>
      </c>
      <c r="G330" t="s" s="1">
        <v>788</v>
      </c>
      <c r="H330" t="s" s="1">
        <v>785</v>
      </c>
      <c r="I330" t="s" s="1">
        <v>1729</v>
      </c>
      <c r="J330" t="s" s="1">
        <v>1815</v>
      </c>
      <c r="K330" t="s" s="1">
        <v>648</v>
      </c>
      <c r="L330" t="s" s="1">
        <v>811</v>
      </c>
      <c r="M330" t="n" s="4">
        <v>42852</v>
      </c>
      <c r="N330" t="n" s="6">
        <v>45527.0</v>
      </c>
      <c r="O330" t="n" s="6">
        <v>45657.0</v>
      </c>
      <c r="P330" t="s" s="1">
        <v>2009</v>
      </c>
    </row>
    <row r="331" spans="1:16">
      <c r="A331" t="n" s="4">
        <v>327</v>
      </c>
      <c r="B331" s="2">
        <f>HYPERLINK("https://my.zakupivli.pro/remote/dispatcher/state_purchase_view/52694451", "UA-2024-08-14-003284-a")</f>
        <v/>
      </c>
      <c r="C331" t="s" s="2">
        <v>1795</v>
      </c>
      <c r="D331" s="2">
        <f>HYPERLINK("https://my.zakupivli.pro/remote/dispatcher/state_contracting_view/21192730", "UA-2024-08-14-003284-a-b1")</f>
        <v/>
      </c>
      <c r="E331" t="s" s="1">
        <v>1558</v>
      </c>
      <c r="F331" t="s" s="1">
        <v>1296</v>
      </c>
      <c r="G331" t="s" s="1">
        <v>1789</v>
      </c>
      <c r="H331" t="s" s="1">
        <v>1305</v>
      </c>
      <c r="I331" t="s" s="1">
        <v>1729</v>
      </c>
      <c r="J331" t="s" s="1">
        <v>1827</v>
      </c>
      <c r="K331" t="s" s="1">
        <v>435</v>
      </c>
      <c r="L331" t="s" s="1">
        <v>15</v>
      </c>
      <c r="M331" t="n" s="7">
        <v>22736.65</v>
      </c>
      <c r="N331" t="n" s="6">
        <v>45516.0</v>
      </c>
      <c r="O331" t="n" s="6">
        <v>45657.0</v>
      </c>
      <c r="P331" t="s" s="1">
        <v>2009</v>
      </c>
    </row>
    <row r="332" spans="1:16">
      <c r="A332" t="n" s="4">
        <v>328</v>
      </c>
      <c r="B332" s="2">
        <f>HYPERLINK("https://my.zakupivli.pro/remote/dispatcher/state_purchase_view/52889674", "UA-2024-08-23-007028-a")</f>
        <v/>
      </c>
      <c r="C332" t="s" s="2">
        <v>1795</v>
      </c>
      <c r="D332" s="2">
        <f>HYPERLINK("https://my.zakupivli.pro/remote/dispatcher/state_contracting_view/21277803", "UA-2024-08-23-007028-a-c1")</f>
        <v/>
      </c>
      <c r="E332" t="s" s="1">
        <v>1626</v>
      </c>
      <c r="F332" t="s" s="1">
        <v>1313</v>
      </c>
      <c r="G332" t="s" s="1">
        <v>2095</v>
      </c>
      <c r="H332" t="s" s="1">
        <v>1315</v>
      </c>
      <c r="I332" t="s" s="1">
        <v>1729</v>
      </c>
      <c r="J332" t="s" s="1">
        <v>1802</v>
      </c>
      <c r="K332" t="s" s="1">
        <v>920</v>
      </c>
      <c r="L332" t="s" s="1">
        <v>754</v>
      </c>
      <c r="M332" t="n" s="4">
        <v>37500</v>
      </c>
      <c r="N332" t="n" s="6">
        <v>45525.0</v>
      </c>
      <c r="O332" t="n" s="6">
        <v>45657.0</v>
      </c>
      <c r="P332" t="s" s="1">
        <v>2009</v>
      </c>
    </row>
    <row r="333" spans="1:16">
      <c r="A333" t="n" s="4">
        <v>329</v>
      </c>
      <c r="B333" s="2">
        <f>HYPERLINK("https://my.zakupivli.pro/remote/dispatcher/state_purchase_view/51381336", "UA-2024-06-03-006623-a")</f>
        <v/>
      </c>
      <c r="C333" s="2">
        <f>HYPERLINK("https://my.zakupivli.pro/remote/dispatcher/state_purchase_lot_view/1300664", "UA-2024-06-03-006623-a-L1300664")</f>
        <v/>
      </c>
      <c r="D333" s="2">
        <f>HYPERLINK("https://my.zakupivli.pro/remote/dispatcher/state_contracting_view/20734298", "UA-2024-06-03-006623-a-c1")</f>
        <v/>
      </c>
      <c r="E333" t="s" s="1">
        <v>383</v>
      </c>
      <c r="F333" t="s" s="1">
        <v>452</v>
      </c>
      <c r="G333" t="s" s="1">
        <v>1693</v>
      </c>
      <c r="H333" t="s" s="1">
        <v>458</v>
      </c>
      <c r="I333" t="s" s="1">
        <v>1697</v>
      </c>
      <c r="J333" t="s" s="1">
        <v>1707</v>
      </c>
      <c r="K333" t="s" s="1">
        <v>726</v>
      </c>
      <c r="L333" t="s" s="1">
        <v>551</v>
      </c>
      <c r="M333" t="n" s="7">
        <v>198774.0</v>
      </c>
      <c r="N333" t="n" s="6">
        <v>45470.0</v>
      </c>
      <c r="O333" t="n" s="6">
        <v>45657.0</v>
      </c>
      <c r="P333" t="s" s="1">
        <v>2036</v>
      </c>
    </row>
    <row r="334" spans="1:16">
      <c r="A334" t="n" s="4">
        <v>330</v>
      </c>
      <c r="B334" s="2">
        <f>HYPERLINK("https://my.zakupivli.pro/remote/dispatcher/state_purchase_view/54043339", "UA-2024-10-16-007335-a")</f>
        <v/>
      </c>
      <c r="C334" t="s" s="2">
        <v>1795</v>
      </c>
      <c r="D334" s="2">
        <f>HYPERLINK("https://my.zakupivli.pro/remote/dispatcher/state_contracting_view/21771564", "UA-2024-10-16-007335-a-c1")</f>
        <v/>
      </c>
      <c r="E334" t="s" s="1">
        <v>91</v>
      </c>
      <c r="F334" t="s" s="1">
        <v>1457</v>
      </c>
      <c r="G334" t="s" s="1">
        <v>2069</v>
      </c>
      <c r="H334" t="s" s="1">
        <v>1458</v>
      </c>
      <c r="I334" t="s" s="1">
        <v>1729</v>
      </c>
      <c r="J334" t="s" s="1">
        <v>1737</v>
      </c>
      <c r="K334" t="s" s="1">
        <v>545</v>
      </c>
      <c r="L334" t="s" s="1">
        <v>1404</v>
      </c>
      <c r="M334" t="n" s="4">
        <v>35000</v>
      </c>
      <c r="N334" t="n" s="6">
        <v>45579.0</v>
      </c>
      <c r="O334" t="n" s="6">
        <v>45657.0</v>
      </c>
      <c r="P334" t="s" s="1">
        <v>2009</v>
      </c>
    </row>
    <row r="335" spans="1:16">
      <c r="A335" t="n" s="4">
        <v>331</v>
      </c>
      <c r="B335" s="2">
        <f>HYPERLINK("https://my.zakupivli.pro/remote/dispatcher/state_purchase_view/54458955", "UA-2024-11-01-002878-a")</f>
        <v/>
      </c>
      <c r="C335" t="s" s="2">
        <v>1795</v>
      </c>
      <c r="D335" s="2">
        <f>HYPERLINK("https://my.zakupivli.pro/remote/dispatcher/state_contracting_view/21951810", "UA-2024-11-01-002878-a-b1")</f>
        <v/>
      </c>
      <c r="E335" t="s" s="1">
        <v>1496</v>
      </c>
      <c r="F335" t="s" s="1">
        <v>509</v>
      </c>
      <c r="G335" t="s" s="1">
        <v>509</v>
      </c>
      <c r="H335" t="s" s="1">
        <v>508</v>
      </c>
      <c r="I335" t="s" s="1">
        <v>1729</v>
      </c>
      <c r="J335" t="s" s="1">
        <v>1935</v>
      </c>
      <c r="K335" t="s" s="1">
        <v>668</v>
      </c>
      <c r="L335" t="s" s="1">
        <v>1146</v>
      </c>
      <c r="M335" t="n" s="4">
        <v>38460</v>
      </c>
      <c r="N335" t="n" s="6">
        <v>45597.0</v>
      </c>
      <c r="O335" t="n" s="6">
        <v>45657.0</v>
      </c>
      <c r="P335" t="s" s="1">
        <v>2009</v>
      </c>
    </row>
    <row r="336" spans="1:16">
      <c r="A336" t="n" s="4">
        <v>332</v>
      </c>
      <c r="B336" s="2">
        <f>HYPERLINK("https://my.zakupivli.pro/remote/dispatcher/state_purchase_view/55021684", "UA-2024-11-21-012987-a")</f>
        <v/>
      </c>
      <c r="C336" t="s" s="2">
        <v>1795</v>
      </c>
      <c r="D336" s="2">
        <f>HYPERLINK("https://my.zakupivli.pro/remote/dispatcher/state_contracting_view/22192584", "UA-2024-11-21-012987-a-a1")</f>
        <v/>
      </c>
      <c r="E336" t="s" s="1">
        <v>1398</v>
      </c>
      <c r="F336" t="s" s="1">
        <v>1303</v>
      </c>
      <c r="G336" t="s" s="1">
        <v>2045</v>
      </c>
      <c r="H336" t="s" s="1">
        <v>1304</v>
      </c>
      <c r="I336" t="s" s="1">
        <v>1729</v>
      </c>
      <c r="J336" t="s" s="1">
        <v>1985</v>
      </c>
      <c r="K336" t="s" s="1">
        <v>396</v>
      </c>
      <c r="L336" t="s" s="1">
        <v>239</v>
      </c>
      <c r="M336" t="n" s="4">
        <v>5000</v>
      </c>
      <c r="N336" t="n" s="6">
        <v>45616.0</v>
      </c>
      <c r="O336" t="n" s="6">
        <v>45657.0</v>
      </c>
      <c r="P336" t="s" s="1">
        <v>2009</v>
      </c>
    </row>
    <row r="337" spans="1:16">
      <c r="A337" t="n" s="4">
        <v>333</v>
      </c>
      <c r="B337" s="2">
        <f>HYPERLINK("https://my.zakupivli.pro/remote/dispatcher/state_purchase_view/54809806", "UA-2024-11-14-009387-a")</f>
        <v/>
      </c>
      <c r="C337" t="s" s="2">
        <v>1795</v>
      </c>
      <c r="D337" s="2">
        <f>HYPERLINK("https://my.zakupivli.pro/remote/dispatcher/state_contracting_view/22101764", "UA-2024-11-14-009387-a-a1")</f>
        <v/>
      </c>
      <c r="E337" t="s" s="1">
        <v>1545</v>
      </c>
      <c r="F337" t="s" s="1">
        <v>732</v>
      </c>
      <c r="G337" t="s" s="1">
        <v>2102</v>
      </c>
      <c r="H337" t="s" s="1">
        <v>733</v>
      </c>
      <c r="I337" t="s" s="1">
        <v>1729</v>
      </c>
      <c r="J337" t="s" s="1">
        <v>1673</v>
      </c>
      <c r="K337" t="s" s="1">
        <v>331</v>
      </c>
      <c r="L337" t="s" s="1">
        <v>1154</v>
      </c>
      <c r="M337" t="n" s="4">
        <v>28116</v>
      </c>
      <c r="N337" t="n" s="6">
        <v>45609.0</v>
      </c>
      <c r="O337" t="n" s="6">
        <v>45657.0</v>
      </c>
      <c r="P337" t="s" s="1">
        <v>2009</v>
      </c>
    </row>
    <row r="338" spans="1:16">
      <c r="A338" t="n" s="4">
        <v>334</v>
      </c>
      <c r="B338" s="2">
        <f>HYPERLINK("https://my.zakupivli.pro/remote/dispatcher/state_purchase_view/54902250", "UA-2024-11-18-013889-a")</f>
        <v/>
      </c>
      <c r="C338" t="s" s="2">
        <v>1795</v>
      </c>
      <c r="D338" s="2">
        <f>HYPERLINK("https://my.zakupivli.pro/remote/dispatcher/state_contracting_view/22141487", "UA-2024-11-18-013889-a-a1")</f>
        <v/>
      </c>
      <c r="E338" t="s" s="1">
        <v>232</v>
      </c>
      <c r="F338" t="s" s="1">
        <v>705</v>
      </c>
      <c r="G338" t="s" s="1">
        <v>2099</v>
      </c>
      <c r="H338" t="s" s="1">
        <v>706</v>
      </c>
      <c r="I338" t="s" s="1">
        <v>1729</v>
      </c>
      <c r="J338" t="s" s="1">
        <v>1820</v>
      </c>
      <c r="K338" t="s" s="1">
        <v>250</v>
      </c>
      <c r="L338" t="s" s="1">
        <v>1149</v>
      </c>
      <c r="M338" t="n" s="4">
        <v>3771</v>
      </c>
      <c r="N338" t="n" s="6">
        <v>45614.0</v>
      </c>
      <c r="O338" t="n" s="6">
        <v>45657.0</v>
      </c>
      <c r="P338" t="s" s="1">
        <v>2009</v>
      </c>
    </row>
    <row r="339" spans="1:16">
      <c r="A339" t="n" s="4">
        <v>335</v>
      </c>
      <c r="B339" s="2">
        <f>HYPERLINK("https://my.zakupivli.pro/remote/dispatcher/state_purchase_view/56146328", "UA-2024-12-24-016069-a")</f>
        <v/>
      </c>
      <c r="C339" t="s" s="2">
        <v>1795</v>
      </c>
      <c r="D339" s="2">
        <f>HYPERLINK("https://my.zakupivli.pro/remote/dispatcher/state_contracting_view/22681800", "UA-2024-12-24-016069-a-b1")</f>
        <v/>
      </c>
      <c r="E339" t="s" s="1">
        <v>1086</v>
      </c>
      <c r="F339" t="s" s="1">
        <v>408</v>
      </c>
      <c r="G339" t="s" s="1">
        <v>2044</v>
      </c>
      <c r="H339" t="s" s="1">
        <v>405</v>
      </c>
      <c r="I339" t="s" s="1">
        <v>1729</v>
      </c>
      <c r="J339" t="s" s="1">
        <v>1937</v>
      </c>
      <c r="K339" t="s" s="1">
        <v>400</v>
      </c>
      <c r="L339" t="s" s="1">
        <v>1246</v>
      </c>
      <c r="M339" t="n" s="7">
        <v>23431.68</v>
      </c>
      <c r="N339" t="n" s="6">
        <v>45650.0</v>
      </c>
      <c r="O339" t="n" s="6">
        <v>45657.0</v>
      </c>
      <c r="P339" t="s" s="1">
        <v>2009</v>
      </c>
    </row>
    <row r="340" spans="1:16">
      <c r="A340" t="n" s="4">
        <v>336</v>
      </c>
      <c r="B340" s="2">
        <f>HYPERLINK("https://my.zakupivli.pro/remote/dispatcher/state_purchase_view/53576773", "UA-2024-09-25-009307-a")</f>
        <v/>
      </c>
      <c r="C340" s="2">
        <f>HYPERLINK("https://my.zakupivli.pro/remote/dispatcher/state_purchase_lot_view/1402714", "UA-2024-09-25-009307-a-L1402714")</f>
        <v/>
      </c>
      <c r="D340" s="2">
        <f>HYPERLINK("https://my.zakupivli.pro/remote/dispatcher/state_contracting_view/21672775", "UA-2024-09-25-009307-a-a1")</f>
        <v/>
      </c>
      <c r="E340" t="s" s="1">
        <v>1176</v>
      </c>
      <c r="F340" t="s" s="1">
        <v>1384</v>
      </c>
      <c r="G340" t="s" s="1">
        <v>1837</v>
      </c>
      <c r="H340" t="s" s="1">
        <v>1383</v>
      </c>
      <c r="I340" t="s" s="1">
        <v>1697</v>
      </c>
      <c r="J340" t="s" s="1">
        <v>1706</v>
      </c>
      <c r="K340" t="s" s="1">
        <v>753</v>
      </c>
      <c r="L340" t="s" s="1">
        <v>1136</v>
      </c>
      <c r="M340" t="n" s="7">
        <v>138980.93</v>
      </c>
      <c r="N340" t="n" s="6">
        <v>45586.0</v>
      </c>
      <c r="O340" t="n" s="6">
        <v>45657.0</v>
      </c>
      <c r="P340" t="s" s="1">
        <v>2036</v>
      </c>
    </row>
    <row r="341" spans="1:16">
      <c r="A341" t="n" s="4">
        <v>337</v>
      </c>
      <c r="B341" s="2">
        <f>HYPERLINK("https://my.zakupivli.pro/remote/dispatcher/state_purchase_view/47800252", "UA-2023-12-19-014176-a")</f>
        <v/>
      </c>
      <c r="C341" s="2">
        <f>HYPERLINK("https://my.zakupivli.pro/remote/dispatcher/state_purchase_lot_view/1154475", "UA-2023-12-19-014176-a-L1154475")</f>
        <v/>
      </c>
      <c r="D341" s="2">
        <f>HYPERLINK("https://my.zakupivli.pro/remote/dispatcher/state_contracting_view/18941080", "UA-2023-12-19-014176-a-c1")</f>
        <v/>
      </c>
      <c r="E341" t="s" s="1">
        <v>251</v>
      </c>
      <c r="F341" t="s" s="1">
        <v>1357</v>
      </c>
      <c r="G341" t="s" s="1">
        <v>1839</v>
      </c>
      <c r="H341" t="s" s="1">
        <v>1358</v>
      </c>
      <c r="I341" t="s" s="1">
        <v>1697</v>
      </c>
      <c r="J341" t="s" s="1">
        <v>1892</v>
      </c>
      <c r="K341" t="s" s="1">
        <v>717</v>
      </c>
      <c r="L341" t="s" s="1">
        <v>724</v>
      </c>
      <c r="M341" t="n" s="7">
        <v>288000.0</v>
      </c>
      <c r="N341" t="n" s="6">
        <v>45308.0</v>
      </c>
      <c r="O341" t="n" s="6">
        <v>45657.0</v>
      </c>
      <c r="P341" t="s" s="1">
        <v>2036</v>
      </c>
    </row>
    <row r="342" spans="1:16">
      <c r="A342" t="n" s="4">
        <v>338</v>
      </c>
      <c r="B342" s="2">
        <f>HYPERLINK("https://my.zakupivli.pro/remote/dispatcher/state_purchase_view/53846514", "UA-2024-10-08-008381-a")</f>
        <v/>
      </c>
      <c r="C342" t="s" s="2">
        <v>1795</v>
      </c>
      <c r="D342" s="2">
        <f>HYPERLINK("https://my.zakupivli.pro/remote/dispatcher/state_contracting_view/21686379", "UA-2024-10-08-008381-a-a1")</f>
        <v/>
      </c>
      <c r="E342" t="s" s="1">
        <v>1575</v>
      </c>
      <c r="F342" t="s" s="1">
        <v>699</v>
      </c>
      <c r="G342" t="s" s="1">
        <v>699</v>
      </c>
      <c r="H342" t="s" s="1">
        <v>701</v>
      </c>
      <c r="I342" t="s" s="1">
        <v>1729</v>
      </c>
      <c r="J342" t="s" s="1">
        <v>1894</v>
      </c>
      <c r="K342" t="s" s="1">
        <v>1017</v>
      </c>
      <c r="L342" t="s" s="1">
        <v>1123</v>
      </c>
      <c r="M342" t="n" s="4">
        <v>88800</v>
      </c>
      <c r="N342" t="n" s="6">
        <v>45573.0</v>
      </c>
      <c r="O342" t="n" s="6">
        <v>45657.0</v>
      </c>
      <c r="P342" t="s" s="1">
        <v>2036</v>
      </c>
    </row>
    <row r="343" spans="1:16">
      <c r="A343" t="n" s="4">
        <v>339</v>
      </c>
      <c r="B343" s="2">
        <f>HYPERLINK("https://my.zakupivli.pro/remote/dispatcher/state_purchase_view/51591647", "UA-2024-06-12-010931-a")</f>
        <v/>
      </c>
      <c r="C343" t="s" s="2">
        <v>1795</v>
      </c>
      <c r="D343" s="2">
        <f>HYPERLINK("https://my.zakupivli.pro/remote/dispatcher/state_contracting_view/20712834", "UA-2024-06-12-010931-a-a1")</f>
        <v/>
      </c>
      <c r="E343" t="s" s="1">
        <v>1172</v>
      </c>
      <c r="F343" t="s" s="1">
        <v>522</v>
      </c>
      <c r="G343" t="s" s="1">
        <v>1668</v>
      </c>
      <c r="H343" t="s" s="1">
        <v>524</v>
      </c>
      <c r="I343" t="s" s="1">
        <v>1729</v>
      </c>
      <c r="J343" t="s" s="1">
        <v>1740</v>
      </c>
      <c r="K343" t="s" s="1">
        <v>376</v>
      </c>
      <c r="L343" t="s" s="1">
        <v>479</v>
      </c>
      <c r="M343" t="n" s="7">
        <v>1641780.0</v>
      </c>
      <c r="N343" t="n" s="6">
        <v>45455.0</v>
      </c>
      <c r="O343" t="n" s="6">
        <v>45657.0</v>
      </c>
      <c r="P343" t="s" s="1">
        <v>2036</v>
      </c>
    </row>
    <row r="344" spans="1:16">
      <c r="A344" t="n" s="4">
        <v>340</v>
      </c>
      <c r="B344" s="2">
        <f>HYPERLINK("https://my.zakupivli.pro/remote/dispatcher/state_purchase_view/48495716", "UA-2024-01-19-001748-a")</f>
        <v/>
      </c>
      <c r="C344" t="s" s="2">
        <v>1795</v>
      </c>
      <c r="D344" s="2">
        <f>HYPERLINK("https://my.zakupivli.pro/remote/dispatcher/state_contracting_view/18962780", "UA-2024-01-19-001748-a-c1")</f>
        <v/>
      </c>
      <c r="E344" t="s" s="1">
        <v>1366</v>
      </c>
      <c r="F344" t="s" s="1">
        <v>598</v>
      </c>
      <c r="G344" t="s" s="1">
        <v>598</v>
      </c>
      <c r="H344" t="s" s="1">
        <v>595</v>
      </c>
      <c r="I344" t="s" s="1">
        <v>1729</v>
      </c>
      <c r="J344" t="s" s="1">
        <v>1956</v>
      </c>
      <c r="K344" t="s" s="1">
        <v>835</v>
      </c>
      <c r="L344" t="s" s="1">
        <v>693</v>
      </c>
      <c r="M344" t="n" s="7">
        <v>27980.0</v>
      </c>
      <c r="N344" t="n" s="6">
        <v>45307.0</v>
      </c>
      <c r="O344" t="n" s="6">
        <v>45657.0</v>
      </c>
      <c r="P344" t="s" s="1">
        <v>2009</v>
      </c>
    </row>
    <row r="345" spans="1:16">
      <c r="A345" t="n" s="4">
        <v>341</v>
      </c>
      <c r="B345" s="2">
        <f>HYPERLINK("https://my.zakupivli.pro/remote/dispatcher/state_purchase_view/48197851", "UA-2024-01-05-003903-a")</f>
        <v/>
      </c>
      <c r="C345" t="s" s="2">
        <v>1795</v>
      </c>
      <c r="D345" s="2">
        <f>HYPERLINK("https://my.zakupivli.pro/remote/dispatcher/state_contracting_view/18842504", "UA-2024-01-05-003903-a-a1")</f>
        <v/>
      </c>
      <c r="E345" t="s" s="1">
        <v>1604</v>
      </c>
      <c r="F345" t="s" s="1">
        <v>1257</v>
      </c>
      <c r="G345" t="s" s="1">
        <v>1257</v>
      </c>
      <c r="H345" t="s" s="1">
        <v>1255</v>
      </c>
      <c r="I345" t="s" s="1">
        <v>1729</v>
      </c>
      <c r="J345" t="s" s="1">
        <v>1812</v>
      </c>
      <c r="K345" t="s" s="1">
        <v>262</v>
      </c>
      <c r="L345" t="s" s="1">
        <v>72</v>
      </c>
      <c r="M345" t="n" s="7">
        <v>1889.0</v>
      </c>
      <c r="N345" t="n" s="6">
        <v>45295.0</v>
      </c>
      <c r="O345" t="n" s="6">
        <v>45657.0</v>
      </c>
      <c r="P345" t="s" s="1">
        <v>2009</v>
      </c>
    </row>
    <row r="346" spans="1:16">
      <c r="A346" t="n" s="4">
        <v>342</v>
      </c>
      <c r="B346" s="2">
        <f>HYPERLINK("https://my.zakupivli.pro/remote/dispatcher/state_purchase_view/48217774", "UA-2024-01-08-004560-a")</f>
        <v/>
      </c>
      <c r="C346" t="s" s="2">
        <v>1795</v>
      </c>
      <c r="D346" s="2">
        <f>HYPERLINK("https://my.zakupivli.pro/remote/dispatcher/state_contracting_view/18851006", "UA-2024-01-08-004560-a-a1")</f>
        <v/>
      </c>
      <c r="E346" t="s" s="1">
        <v>1641</v>
      </c>
      <c r="F346" t="s" s="1">
        <v>28</v>
      </c>
      <c r="G346" t="s" s="1">
        <v>28</v>
      </c>
      <c r="H346" t="s" s="1">
        <v>25</v>
      </c>
      <c r="I346" t="s" s="1">
        <v>1729</v>
      </c>
      <c r="J346" t="s" s="1">
        <v>1770</v>
      </c>
      <c r="K346" t="s" s="1">
        <v>416</v>
      </c>
      <c r="L346" t="s" s="1">
        <v>61</v>
      </c>
      <c r="M346" t="n" s="7">
        <v>10800.0</v>
      </c>
      <c r="N346" t="n" s="6">
        <v>45299.0</v>
      </c>
      <c r="O346" t="n" s="6">
        <v>45657.0</v>
      </c>
      <c r="P346" t="s" s="1">
        <v>2009</v>
      </c>
    </row>
    <row r="347" spans="1:16">
      <c r="A347" t="n" s="4">
        <v>343</v>
      </c>
      <c r="B347" s="2">
        <f>HYPERLINK("https://my.zakupivli.pro/remote/dispatcher/state_purchase_view/48341981", "UA-2024-01-15-004471-a")</f>
        <v/>
      </c>
      <c r="C347" t="s" s="2">
        <v>1795</v>
      </c>
      <c r="D347" s="2">
        <f>HYPERLINK("https://my.zakupivli.pro/remote/dispatcher/state_contracting_view/18899485", "UA-2024-01-15-004471-a-b1")</f>
        <v/>
      </c>
      <c r="E347" t="s" s="1">
        <v>1158</v>
      </c>
      <c r="F347" t="s" s="1">
        <v>121</v>
      </c>
      <c r="G347" t="s" s="1">
        <v>123</v>
      </c>
      <c r="H347" t="s" s="1">
        <v>122</v>
      </c>
      <c r="I347" t="s" s="1">
        <v>1729</v>
      </c>
      <c r="J347" t="s" s="1">
        <v>1929</v>
      </c>
      <c r="K347" t="s" s="1">
        <v>316</v>
      </c>
      <c r="L347" t="s" s="1">
        <v>438</v>
      </c>
      <c r="M347" t="n" s="7">
        <v>48232.8</v>
      </c>
      <c r="N347" t="n" s="6">
        <v>45306.0</v>
      </c>
      <c r="O347" t="n" s="6">
        <v>45657.0</v>
      </c>
      <c r="P347" t="s" s="1">
        <v>2009</v>
      </c>
    </row>
    <row r="348" spans="1:16">
      <c r="A348" t="n" s="4">
        <v>344</v>
      </c>
      <c r="B348" s="2">
        <f>HYPERLINK("https://my.zakupivli.pro/remote/dispatcher/state_purchase_view/48582359", "UA-2024-01-23-003654-a")</f>
        <v/>
      </c>
      <c r="C348" t="s" s="2">
        <v>1795</v>
      </c>
      <c r="D348" s="2">
        <f>HYPERLINK("https://my.zakupivli.pro/remote/dispatcher/state_contracting_view/18999423", "UA-2024-01-23-003654-a-c1")</f>
        <v/>
      </c>
      <c r="E348" t="s" s="1">
        <v>1544</v>
      </c>
      <c r="F348" t="s" s="1">
        <v>865</v>
      </c>
      <c r="G348" t="s" s="1">
        <v>869</v>
      </c>
      <c r="H348" t="s" s="1">
        <v>862</v>
      </c>
      <c r="I348" t="s" s="1">
        <v>1729</v>
      </c>
      <c r="J348" t="s" s="1">
        <v>1740</v>
      </c>
      <c r="K348" t="s" s="1">
        <v>376</v>
      </c>
      <c r="L348" t="s" s="1">
        <v>930</v>
      </c>
      <c r="M348" t="n" s="7">
        <v>85320.0</v>
      </c>
      <c r="N348" t="n" s="6">
        <v>45309.0</v>
      </c>
      <c r="O348" t="n" s="6">
        <v>45657.0</v>
      </c>
      <c r="P348" t="s" s="1">
        <v>2009</v>
      </c>
    </row>
    <row r="349" spans="1:16">
      <c r="A349" t="n" s="4">
        <v>345</v>
      </c>
      <c r="B349" s="2">
        <f>HYPERLINK("https://my.zakupivli.pro/remote/dispatcher/state_purchase_view/48889709", "UA-2024-02-02-004938-a")</f>
        <v/>
      </c>
      <c r="C349" t="s" s="2">
        <v>1795</v>
      </c>
      <c r="D349" s="2">
        <f>HYPERLINK("https://my.zakupivli.pro/remote/dispatcher/state_contracting_view/19131418", "UA-2024-02-02-004938-a-c1")</f>
        <v/>
      </c>
      <c r="E349" t="s" s="1">
        <v>1578</v>
      </c>
      <c r="F349" t="s" s="1">
        <v>5</v>
      </c>
      <c r="G349" t="s" s="1">
        <v>4</v>
      </c>
      <c r="H349" t="s" s="1">
        <v>1385</v>
      </c>
      <c r="I349" t="s" s="1">
        <v>1729</v>
      </c>
      <c r="J349" t="s" s="1">
        <v>1936</v>
      </c>
      <c r="K349" t="s" s="1">
        <v>581</v>
      </c>
      <c r="L349" t="s" s="1">
        <v>2002</v>
      </c>
      <c r="M349" t="n" s="7">
        <v>12145.65</v>
      </c>
      <c r="N349" t="n" s="6">
        <v>45324.0</v>
      </c>
      <c r="O349" t="n" s="6">
        <v>45657.0</v>
      </c>
      <c r="P349" t="s" s="1">
        <v>2009</v>
      </c>
    </row>
    <row r="350" spans="1:16">
      <c r="A350" t="n" s="4">
        <v>346</v>
      </c>
      <c r="B350" s="2">
        <f>HYPERLINK("https://my.zakupivli.pro/remote/dispatcher/state_purchase_view/49228700", "UA-2024-02-16-005051-a")</f>
        <v/>
      </c>
      <c r="C350" t="s" s="2">
        <v>1795</v>
      </c>
      <c r="D350" s="2">
        <f>HYPERLINK("https://my.zakupivli.pro/remote/dispatcher/state_contracting_view/19276738", "UA-2024-02-16-005051-a-a1")</f>
        <v/>
      </c>
      <c r="E350" t="s" s="1">
        <v>1536</v>
      </c>
      <c r="F350" t="s" s="1">
        <v>443</v>
      </c>
      <c r="G350" t="s" s="1">
        <v>2109</v>
      </c>
      <c r="H350" t="s" s="1">
        <v>442</v>
      </c>
      <c r="I350" t="s" s="1">
        <v>1729</v>
      </c>
      <c r="J350" t="s" s="1">
        <v>1664</v>
      </c>
      <c r="K350" t="s" s="1">
        <v>356</v>
      </c>
      <c r="L350" t="s" s="1">
        <v>67</v>
      </c>
      <c r="M350" t="n" s="7">
        <v>19500.0</v>
      </c>
      <c r="N350" t="n" s="6">
        <v>45335.0</v>
      </c>
      <c r="O350" t="n" s="6">
        <v>45657.0</v>
      </c>
      <c r="P350" t="s" s="1">
        <v>2009</v>
      </c>
    </row>
    <row r="351" spans="1:16">
      <c r="A351" t="n" s="4">
        <v>347</v>
      </c>
      <c r="B351" s="2">
        <f>HYPERLINK("https://my.zakupivli.pro/remote/dispatcher/state_purchase_view/49230845", "UA-2024-02-16-005591-a")</f>
        <v/>
      </c>
      <c r="C351" t="s" s="2">
        <v>1795</v>
      </c>
      <c r="D351" s="2">
        <f>HYPERLINK("https://my.zakupivli.pro/remote/dispatcher/state_contracting_view/19277458", "UA-2024-02-16-005591-a-b1")</f>
        <v/>
      </c>
      <c r="E351" t="s" s="1">
        <v>293</v>
      </c>
      <c r="F351" t="s" s="1">
        <v>1256</v>
      </c>
      <c r="G351" t="s" s="1">
        <v>2061</v>
      </c>
      <c r="H351" t="s" s="1">
        <v>1255</v>
      </c>
      <c r="I351" t="s" s="1">
        <v>1729</v>
      </c>
      <c r="J351" t="s" s="1">
        <v>1812</v>
      </c>
      <c r="K351" t="s" s="1">
        <v>262</v>
      </c>
      <c r="L351" t="s" s="1">
        <v>74</v>
      </c>
      <c r="M351" t="n" s="7">
        <v>1575.0</v>
      </c>
      <c r="N351" t="n" s="6">
        <v>45334.0</v>
      </c>
      <c r="O351" t="n" s="6">
        <v>45657.0</v>
      </c>
      <c r="P351" t="s" s="1">
        <v>2009</v>
      </c>
    </row>
    <row r="352" spans="1:16">
      <c r="A352" t="n" s="4">
        <v>348</v>
      </c>
      <c r="B352" s="2">
        <f>HYPERLINK("https://my.zakupivli.pro/remote/dispatcher/state_purchase_view/49399890", "UA-2024-02-23-010219-a")</f>
        <v/>
      </c>
      <c r="C352" t="s" s="2">
        <v>1795</v>
      </c>
      <c r="D352" s="2">
        <f>HYPERLINK("https://my.zakupivli.pro/remote/dispatcher/state_contracting_view/19350034", "UA-2024-02-23-010219-a-a1")</f>
        <v/>
      </c>
      <c r="E352" t="s" s="1">
        <v>92</v>
      </c>
      <c r="F352" t="s" s="1">
        <v>1032</v>
      </c>
      <c r="G352" t="s" s="1">
        <v>6</v>
      </c>
      <c r="H352" t="s" s="1">
        <v>1040</v>
      </c>
      <c r="I352" t="s" s="1">
        <v>1729</v>
      </c>
      <c r="J352" t="s" s="1">
        <v>1727</v>
      </c>
      <c r="K352" t="s" s="1">
        <v>549</v>
      </c>
      <c r="L352" t="s" s="1">
        <v>97</v>
      </c>
      <c r="M352" t="n" s="7">
        <v>38300.0</v>
      </c>
      <c r="N352" t="n" s="6">
        <v>45345.0</v>
      </c>
      <c r="O352" t="n" s="6">
        <v>45657.0</v>
      </c>
      <c r="P352" t="s" s="1">
        <v>2009</v>
      </c>
    </row>
    <row r="353" spans="1:16">
      <c r="A353" t="n" s="4">
        <v>349</v>
      </c>
      <c r="B353" s="2">
        <f>HYPERLINK("https://my.zakupivli.pro/remote/dispatcher/state_purchase_view/49424541", "UA-2024-02-26-007371-a")</f>
        <v/>
      </c>
      <c r="C353" t="s" s="2">
        <v>1795</v>
      </c>
      <c r="D353" s="2">
        <f>HYPERLINK("https://my.zakupivli.pro/remote/dispatcher/state_contracting_view/19360632", "UA-2024-02-26-007371-a-c1")</f>
        <v/>
      </c>
      <c r="E353" t="s" s="1">
        <v>1647</v>
      </c>
      <c r="F353" t="s" s="1">
        <v>714</v>
      </c>
      <c r="G353" t="s" s="1">
        <v>716</v>
      </c>
      <c r="H353" t="s" s="1">
        <v>715</v>
      </c>
      <c r="I353" t="s" s="1">
        <v>1729</v>
      </c>
      <c r="J353" t="s" s="1">
        <v>1899</v>
      </c>
      <c r="K353" t="s" s="1">
        <v>653</v>
      </c>
      <c r="L353" t="s" s="1">
        <v>98</v>
      </c>
      <c r="M353" t="n" s="7">
        <v>8065.44</v>
      </c>
      <c r="N353" t="n" s="6">
        <v>45348.0</v>
      </c>
      <c r="O353" t="n" s="6">
        <v>45657.0</v>
      </c>
      <c r="P353" t="s" s="1">
        <v>2009</v>
      </c>
    </row>
    <row r="354" spans="1:16">
      <c r="A354" t="n" s="4">
        <v>350</v>
      </c>
      <c r="B354" s="2">
        <f>HYPERLINK("https://my.zakupivli.pro/remote/dispatcher/state_purchase_view/49273195", "UA-2024-02-19-011588-a")</f>
        <v/>
      </c>
      <c r="C354" t="s" s="2">
        <v>1795</v>
      </c>
      <c r="D354" s="2">
        <f>HYPERLINK("https://my.zakupivli.pro/remote/dispatcher/state_contracting_view/19296030", "UA-2024-02-19-011588-a-b1")</f>
        <v/>
      </c>
      <c r="E354" t="s" s="1">
        <v>1528</v>
      </c>
      <c r="F354" t="s" s="1">
        <v>2</v>
      </c>
      <c r="G354" t="s" s="1">
        <v>1873</v>
      </c>
      <c r="H354" t="s" s="1">
        <v>592</v>
      </c>
      <c r="I354" t="s" s="1">
        <v>1729</v>
      </c>
      <c r="J354" t="s" s="1">
        <v>1982</v>
      </c>
      <c r="K354" t="s" s="1">
        <v>580</v>
      </c>
      <c r="L354" t="s" s="1">
        <v>76</v>
      </c>
      <c r="M354" t="n" s="7">
        <v>42220.0</v>
      </c>
      <c r="N354" t="n" s="6">
        <v>45341.0</v>
      </c>
      <c r="O354" t="n" s="6">
        <v>45657.0</v>
      </c>
      <c r="P354" t="s" s="1">
        <v>2009</v>
      </c>
    </row>
    <row r="355" spans="1:16">
      <c r="A355" t="n" s="4">
        <v>351</v>
      </c>
      <c r="B355" s="2">
        <f>HYPERLINK("https://my.zakupivli.pro/remote/dispatcher/state_purchase_view/49349341", "UA-2024-02-22-002176-a")</f>
        <v/>
      </c>
      <c r="C355" t="s" s="2">
        <v>1795</v>
      </c>
      <c r="D355" s="2">
        <f>HYPERLINK("https://my.zakupivli.pro/remote/dispatcher/state_contracting_view/19328775", "UA-2024-02-22-002176-a-b1")</f>
        <v/>
      </c>
      <c r="E355" t="s" s="1">
        <v>1485</v>
      </c>
      <c r="F355" t="s" s="1">
        <v>739</v>
      </c>
      <c r="G355" t="s" s="1">
        <v>2107</v>
      </c>
      <c r="H355" t="s" s="1">
        <v>740</v>
      </c>
      <c r="I355" t="s" s="1">
        <v>1729</v>
      </c>
      <c r="J355" t="s" s="1">
        <v>1815</v>
      </c>
      <c r="K355" t="s" s="1">
        <v>648</v>
      </c>
      <c r="L355" t="s" s="1">
        <v>89</v>
      </c>
      <c r="M355" t="n" s="7">
        <v>8532.0</v>
      </c>
      <c r="N355" t="n" s="6">
        <v>45343.0</v>
      </c>
      <c r="O355" t="n" s="6">
        <v>45657.0</v>
      </c>
      <c r="P355" t="s" s="1">
        <v>2009</v>
      </c>
    </row>
    <row r="356" spans="1:16">
      <c r="A356" t="n" s="4">
        <v>352</v>
      </c>
      <c r="B356" s="2">
        <f>HYPERLINK("https://my.zakupivli.pro/remote/dispatcher/state_purchase_view/50225081", "UA-2024-04-04-009392-a")</f>
        <v/>
      </c>
      <c r="C356" t="s" s="2">
        <v>1795</v>
      </c>
      <c r="D356" s="2">
        <f>HYPERLINK("https://my.zakupivli.pro/remote/dispatcher/state_contracting_view/19706097", "UA-2024-04-04-009392-a-c1")</f>
        <v/>
      </c>
      <c r="E356" t="s" s="1">
        <v>395</v>
      </c>
      <c r="F356" t="s" s="1">
        <v>1035</v>
      </c>
      <c r="G356" t="s" s="1">
        <v>2064</v>
      </c>
      <c r="H356" t="s" s="1">
        <v>1041</v>
      </c>
      <c r="I356" t="s" s="1">
        <v>1729</v>
      </c>
      <c r="J356" t="s" s="1">
        <v>1822</v>
      </c>
      <c r="K356" t="s" s="1">
        <v>976</v>
      </c>
      <c r="L356" t="s" s="1">
        <v>200</v>
      </c>
      <c r="M356" t="n" s="4">
        <v>199061</v>
      </c>
      <c r="N356" t="n" s="6">
        <v>45386.0</v>
      </c>
      <c r="O356" t="n" s="6">
        <v>45657.0</v>
      </c>
      <c r="P356" t="s" s="1">
        <v>2009</v>
      </c>
    </row>
    <row r="357" spans="1:16">
      <c r="A357" t="n" s="4">
        <v>353</v>
      </c>
      <c r="B357" s="2">
        <f>HYPERLINK("https://my.zakupivli.pro/remote/dispatcher/state_purchase_view/49009442", "UA-2024-02-08-000128-a")</f>
        <v/>
      </c>
      <c r="C357" t="s" s="2">
        <v>1795</v>
      </c>
      <c r="D357" s="2">
        <f>HYPERLINK("https://my.zakupivli.pro/remote/dispatcher/state_contracting_view/19188213", "UA-2024-02-08-000128-a-a1")</f>
        <v/>
      </c>
      <c r="E357" t="s" s="1">
        <v>298</v>
      </c>
      <c r="F357" t="s" s="1">
        <v>1111</v>
      </c>
      <c r="G357" t="s" s="1">
        <v>1858</v>
      </c>
      <c r="H357" t="s" s="1">
        <v>1113</v>
      </c>
      <c r="I357" t="s" s="1">
        <v>1729</v>
      </c>
      <c r="J357" t="s" s="1">
        <v>1943</v>
      </c>
      <c r="K357" t="s" s="1">
        <v>840</v>
      </c>
      <c r="L357" t="s" s="1">
        <v>1476</v>
      </c>
      <c r="M357" t="n" s="7">
        <v>5280.0</v>
      </c>
      <c r="N357" t="n" s="6">
        <v>45329.0</v>
      </c>
      <c r="O357" t="n" s="6">
        <v>45657.0</v>
      </c>
      <c r="P357" t="s" s="1">
        <v>2009</v>
      </c>
    </row>
    <row r="358" spans="1:16">
      <c r="A358" t="n" s="4">
        <v>354</v>
      </c>
      <c r="B358" s="2">
        <f>HYPERLINK("https://my.zakupivli.pro/remote/dispatcher/state_purchase_view/51067034", "UA-2024-05-17-001989-a")</f>
        <v/>
      </c>
      <c r="C358" t="s" s="2">
        <v>1795</v>
      </c>
      <c r="D358" s="2">
        <f>HYPERLINK("https://my.zakupivli.pro/remote/dispatcher/state_contracting_view/20328166", "UA-2024-05-17-001989-a-b1")</f>
        <v/>
      </c>
      <c r="E358" t="s" s="1">
        <v>1509</v>
      </c>
      <c r="F358" t="s" s="1">
        <v>1302</v>
      </c>
      <c r="G358" t="s" s="1">
        <v>2018</v>
      </c>
      <c r="H358" t="s" s="1">
        <v>1304</v>
      </c>
      <c r="I358" t="s" s="1">
        <v>1729</v>
      </c>
      <c r="J358" t="s" s="1">
        <v>1802</v>
      </c>
      <c r="K358" t="s" s="1">
        <v>920</v>
      </c>
      <c r="L358" t="s" s="1">
        <v>359</v>
      </c>
      <c r="M358" t="n" s="4">
        <v>53500</v>
      </c>
      <c r="N358" t="n" s="6">
        <v>45427.0</v>
      </c>
      <c r="O358" t="n" s="6">
        <v>45657.0</v>
      </c>
      <c r="P358" t="s" s="1">
        <v>2009</v>
      </c>
    </row>
    <row r="359" spans="1:16">
      <c r="A359" t="n" s="4">
        <v>355</v>
      </c>
      <c r="B359" s="2">
        <f>HYPERLINK("https://my.zakupivli.pro/remote/dispatcher/state_purchase_view/52894324", "UA-2024-08-23-009252-a")</f>
        <v/>
      </c>
      <c r="C359" t="s" s="2">
        <v>1795</v>
      </c>
      <c r="D359" s="2">
        <f>HYPERLINK("https://my.zakupivli.pro/remote/dispatcher/state_contracting_view/21279892", "UA-2024-08-23-009252-a-a1")</f>
        <v/>
      </c>
      <c r="E359" t="s" s="1">
        <v>1282</v>
      </c>
      <c r="F359" t="s" s="1">
        <v>306</v>
      </c>
      <c r="G359" t="s" s="1">
        <v>306</v>
      </c>
      <c r="H359" t="s" s="1">
        <v>305</v>
      </c>
      <c r="I359" t="s" s="1">
        <v>1729</v>
      </c>
      <c r="J359" t="s" s="1">
        <v>1815</v>
      </c>
      <c r="K359" t="s" s="1">
        <v>648</v>
      </c>
      <c r="L359" t="s" s="1">
        <v>807</v>
      </c>
      <c r="M359" t="n" s="4">
        <v>13680</v>
      </c>
      <c r="N359" t="n" s="6">
        <v>45527.0</v>
      </c>
      <c r="O359" t="n" s="6">
        <v>45657.0</v>
      </c>
      <c r="P359" t="s" s="1">
        <v>2009</v>
      </c>
    </row>
    <row r="360" spans="1:16">
      <c r="A360" t="n" s="4">
        <v>356</v>
      </c>
      <c r="B360" s="2">
        <f>HYPERLINK("https://my.zakupivli.pro/remote/dispatcher/state_purchase_view/52855211", "UA-2024-08-22-004199-a")</f>
        <v/>
      </c>
      <c r="C360" t="s" s="2">
        <v>1795</v>
      </c>
      <c r="D360" s="2">
        <f>HYPERLINK("https://my.zakupivli.pro/remote/dispatcher/state_contracting_view/21262712", "UA-2024-08-22-004199-a-c1")</f>
        <v/>
      </c>
      <c r="E360" t="s" s="1">
        <v>1494</v>
      </c>
      <c r="F360" t="s" s="1">
        <v>496</v>
      </c>
      <c r="G360" t="s" s="1">
        <v>497</v>
      </c>
      <c r="H360" t="s" s="1">
        <v>498</v>
      </c>
      <c r="I360" t="s" s="1">
        <v>1729</v>
      </c>
      <c r="J360" t="s" s="1">
        <v>1765</v>
      </c>
      <c r="K360" t="s" s="1">
        <v>550</v>
      </c>
      <c r="L360" t="s" s="1">
        <v>757</v>
      </c>
      <c r="M360" t="n" s="7">
        <v>26480.0</v>
      </c>
      <c r="N360" t="n" s="6">
        <v>45525.0</v>
      </c>
      <c r="O360" t="n" s="6">
        <v>45657.0</v>
      </c>
      <c r="P360" t="s" s="1">
        <v>2009</v>
      </c>
    </row>
    <row r="361" spans="1:16">
      <c r="A361" t="n" s="4">
        <v>357</v>
      </c>
      <c r="B361" s="2">
        <f>HYPERLINK("https://my.zakupivli.pro/remote/dispatcher/state_purchase_view/54344398", "UA-2024-10-28-009617-a")</f>
        <v/>
      </c>
      <c r="C361" t="s" s="2">
        <v>1795</v>
      </c>
      <c r="D361" s="2">
        <f>HYPERLINK("https://my.zakupivli.pro/remote/dispatcher/state_contracting_view/21901905", "UA-2024-10-28-009617-a-c1")</f>
        <v/>
      </c>
      <c r="E361" t="s" s="1">
        <v>795</v>
      </c>
      <c r="F361" t="s" s="1">
        <v>957</v>
      </c>
      <c r="G361" t="s" s="1">
        <v>1763</v>
      </c>
      <c r="H361" t="s" s="1">
        <v>959</v>
      </c>
      <c r="I361" t="s" s="1">
        <v>1729</v>
      </c>
      <c r="J361" t="s" s="1">
        <v>1900</v>
      </c>
      <c r="K361" t="s" s="1">
        <v>826</v>
      </c>
      <c r="L361" t="s" s="1">
        <v>1145</v>
      </c>
      <c r="M361" t="n" s="4">
        <v>8839</v>
      </c>
      <c r="N361" t="n" s="6">
        <v>45593.0</v>
      </c>
      <c r="O361" t="n" s="6">
        <v>45657.0</v>
      </c>
      <c r="P361" t="s" s="1">
        <v>2009</v>
      </c>
    </row>
    <row r="362" spans="1:16">
      <c r="A362" t="n" s="4">
        <v>358</v>
      </c>
      <c r="B362" s="2">
        <f>HYPERLINK("https://my.zakupivli.pro/remote/dispatcher/state_purchase_view/52583340", "UA-2024-08-08-001216-a")</f>
        <v/>
      </c>
      <c r="C362" s="2">
        <f>HYPERLINK("https://my.zakupivli.pro/remote/dispatcher/state_purchase_lot_view/1356863", "UA-2024-08-08-001216-a-L1356863")</f>
        <v/>
      </c>
      <c r="D362" s="2">
        <f>HYPERLINK("https://my.zakupivli.pro/remote/dispatcher/state_contracting_view/21264174", "UA-2024-08-08-001216-a-c1")</f>
        <v/>
      </c>
      <c r="E362" t="s" s="1">
        <v>802</v>
      </c>
      <c r="F362" t="s" s="1">
        <v>1</v>
      </c>
      <c r="G362" t="s" s="1">
        <v>1721</v>
      </c>
      <c r="H362" t="s" s="1">
        <v>584</v>
      </c>
      <c r="I362" t="s" s="1">
        <v>1697</v>
      </c>
      <c r="J362" t="s" s="1">
        <v>1888</v>
      </c>
      <c r="K362" t="s" s="1">
        <v>684</v>
      </c>
      <c r="L362" t="s" s="1">
        <v>830</v>
      </c>
      <c r="M362" t="n" s="7">
        <v>64849.92</v>
      </c>
      <c r="N362" t="n" s="6">
        <v>45539.0</v>
      </c>
      <c r="O362" t="n" s="6">
        <v>45657.0</v>
      </c>
      <c r="P362" t="s" s="1">
        <v>2036</v>
      </c>
    </row>
    <row r="363" spans="1:16">
      <c r="A363" t="n" s="4">
        <v>359</v>
      </c>
      <c r="B363" s="2">
        <f>HYPERLINK("https://my.zakupivli.pro/remote/dispatcher/state_purchase_view/54342818", "UA-2024-10-28-008982-a")</f>
        <v/>
      </c>
      <c r="C363" t="s" s="2">
        <v>1795</v>
      </c>
      <c r="D363" s="2">
        <f>HYPERLINK("https://my.zakupivli.pro/remote/dispatcher/state_contracting_view/21901280", "UA-2024-10-28-008982-a-a1")</f>
        <v/>
      </c>
      <c r="E363" t="s" s="1">
        <v>1561</v>
      </c>
      <c r="F363" t="s" s="1">
        <v>481</v>
      </c>
      <c r="G363" t="s" s="1">
        <v>2011</v>
      </c>
      <c r="H363" t="s" s="1">
        <v>480</v>
      </c>
      <c r="I363" t="s" s="1">
        <v>1729</v>
      </c>
      <c r="J363" t="s" s="1">
        <v>2007</v>
      </c>
      <c r="K363" t="s" s="1">
        <v>373</v>
      </c>
      <c r="L363" t="s" s="1">
        <v>1144</v>
      </c>
      <c r="M363" t="n" s="4">
        <v>7785</v>
      </c>
      <c r="N363" t="n" s="6">
        <v>45593.0</v>
      </c>
      <c r="O363" t="n" s="6">
        <v>45657.0</v>
      </c>
      <c r="P363" t="s" s="1">
        <v>2009</v>
      </c>
    </row>
    <row r="364" spans="1:16">
      <c r="A364" t="n" s="4">
        <v>360</v>
      </c>
      <c r="B364" s="2">
        <f>HYPERLINK("https://my.zakupivli.pro/remote/dispatcher/state_purchase_view/51169802", "UA-2024-05-22-009023-a")</f>
        <v/>
      </c>
      <c r="C364" t="s" s="2">
        <v>1795</v>
      </c>
      <c r="D364" s="2">
        <f>HYPERLINK("https://my.zakupivli.pro/remote/dispatcher/state_contracting_view/20529400", "UA-2024-05-22-009023-a-b1")</f>
        <v/>
      </c>
      <c r="E364" t="s" s="1">
        <v>1079</v>
      </c>
      <c r="F364" t="s" s="1">
        <v>26</v>
      </c>
      <c r="G364" t="s" s="1">
        <v>1687</v>
      </c>
      <c r="H364" t="s" s="1">
        <v>29</v>
      </c>
      <c r="I364" t="s" s="1">
        <v>1729</v>
      </c>
      <c r="J364" t="s" s="1">
        <v>1728</v>
      </c>
      <c r="K364" t="s" s="1">
        <v>382</v>
      </c>
      <c r="L364" t="s" s="1">
        <v>362</v>
      </c>
      <c r="M364" t="n" s="4">
        <v>176237</v>
      </c>
      <c r="N364" t="n" s="6">
        <v>45433.0</v>
      </c>
      <c r="O364" t="n" s="6">
        <v>45657.0</v>
      </c>
      <c r="P364" t="s" s="1">
        <v>2009</v>
      </c>
    </row>
    <row r="365" spans="1:16">
      <c r="A365" t="n" s="4">
        <v>361</v>
      </c>
      <c r="B365" s="2">
        <f>HYPERLINK("https://my.zakupivli.pro/remote/dispatcher/state_purchase_view/50901220", "UA-2024-05-09-002540-a")</f>
        <v/>
      </c>
      <c r="C365" t="s" s="2">
        <v>1795</v>
      </c>
      <c r="D365" s="2">
        <f>HYPERLINK("https://my.zakupivli.pro/remote/dispatcher/state_contracting_view/20257202", "UA-2024-05-09-002540-a-c1")</f>
        <v/>
      </c>
      <c r="E365" t="s" s="1">
        <v>389</v>
      </c>
      <c r="F365" t="s" s="1">
        <v>1292</v>
      </c>
      <c r="G365" t="s" s="1">
        <v>2021</v>
      </c>
      <c r="H365" t="s" s="1">
        <v>1304</v>
      </c>
      <c r="I365" t="s" s="1">
        <v>1729</v>
      </c>
      <c r="J365" t="s" s="1">
        <v>1802</v>
      </c>
      <c r="K365" t="s" s="1">
        <v>920</v>
      </c>
      <c r="L365" t="s" s="1">
        <v>353</v>
      </c>
      <c r="M365" t="n" s="4">
        <v>98000</v>
      </c>
      <c r="N365" t="n" s="6">
        <v>45420.0</v>
      </c>
      <c r="O365" t="n" s="6">
        <v>45657.0</v>
      </c>
      <c r="P365" t="s" s="1">
        <v>2009</v>
      </c>
    </row>
    <row r="366" spans="1:16">
      <c r="A366" t="n" s="4">
        <v>362</v>
      </c>
      <c r="B366" s="2">
        <f>HYPERLINK("https://my.zakupivli.pro/remote/dispatcher/state_purchase_view/50899119", "UA-2024-05-09-001625-a")</f>
        <v/>
      </c>
      <c r="C366" t="s" s="2">
        <v>1795</v>
      </c>
      <c r="D366" s="2">
        <f>HYPERLINK("https://my.zakupivli.pro/remote/dispatcher/state_contracting_view/20256263", "UA-2024-05-09-001625-a-a1")</f>
        <v/>
      </c>
      <c r="E366" t="s" s="1">
        <v>53</v>
      </c>
      <c r="F366" t="s" s="1">
        <v>736</v>
      </c>
      <c r="G366" t="s" s="1">
        <v>1698</v>
      </c>
      <c r="H366" t="s" s="1">
        <v>743</v>
      </c>
      <c r="I366" t="s" s="1">
        <v>1729</v>
      </c>
      <c r="J366" t="s" s="1">
        <v>1815</v>
      </c>
      <c r="K366" t="s" s="1">
        <v>648</v>
      </c>
      <c r="L366" t="s" s="1">
        <v>345</v>
      </c>
      <c r="M366" t="n" s="7">
        <v>31346.4</v>
      </c>
      <c r="N366" t="n" s="6">
        <v>45420.0</v>
      </c>
      <c r="O366" t="n" s="6">
        <v>45657.0</v>
      </c>
      <c r="P366" t="s" s="1">
        <v>2009</v>
      </c>
    </row>
    <row r="367" spans="1:16">
      <c r="A367" t="n" s="4">
        <v>363</v>
      </c>
      <c r="B367" s="2">
        <f>HYPERLINK("https://my.zakupivli.pro/remote/dispatcher/state_purchase_view/51337251", "UA-2024-05-30-006810-a")</f>
        <v/>
      </c>
      <c r="C367" t="s" s="2">
        <v>1795</v>
      </c>
      <c r="D367" s="2">
        <f>HYPERLINK("https://my.zakupivli.pro/remote/dispatcher/state_contracting_view/20602999", "UA-2024-05-30-006810-a-c1")</f>
        <v/>
      </c>
      <c r="E367" t="s" s="1">
        <v>195</v>
      </c>
      <c r="F367" t="s" s="1">
        <v>980</v>
      </c>
      <c r="G367" t="s" s="1">
        <v>1859</v>
      </c>
      <c r="H367" t="s" s="1">
        <v>981</v>
      </c>
      <c r="I367" t="s" s="1">
        <v>1729</v>
      </c>
      <c r="J367" t="s" s="1">
        <v>1897</v>
      </c>
      <c r="K367" t="s" s="1">
        <v>896</v>
      </c>
      <c r="L367" t="s" s="1">
        <v>368</v>
      </c>
      <c r="M367" t="n" s="7">
        <v>13500.0</v>
      </c>
      <c r="N367" t="n" s="6">
        <v>45440.0</v>
      </c>
      <c r="O367" t="n" s="6">
        <v>45657.0</v>
      </c>
      <c r="P367" t="s" s="1">
        <v>2009</v>
      </c>
    </row>
    <row r="368" spans="1:16">
      <c r="A368" t="n" s="4">
        <v>364</v>
      </c>
      <c r="B368" s="2">
        <f>HYPERLINK("https://my.zakupivli.pro/remote/dispatcher/state_purchase_view/50640083", "UA-2024-04-24-013236-a")</f>
        <v/>
      </c>
      <c r="C368" t="s" s="2">
        <v>1795</v>
      </c>
      <c r="D368" s="2">
        <f>HYPERLINK("https://my.zakupivli.pro/remote/dispatcher/state_contracting_view/19890880", "UA-2024-04-24-013236-a-a1")</f>
        <v/>
      </c>
      <c r="E368" t="s" s="1">
        <v>1525</v>
      </c>
      <c r="F368" t="s" s="1">
        <v>940</v>
      </c>
      <c r="G368" t="s" s="1">
        <v>2093</v>
      </c>
      <c r="H368" t="s" s="1">
        <v>941</v>
      </c>
      <c r="I368" t="s" s="1">
        <v>1729</v>
      </c>
      <c r="J368" t="s" s="1">
        <v>1799</v>
      </c>
      <c r="K368" t="s" s="1">
        <v>339</v>
      </c>
      <c r="L368" t="s" s="1">
        <v>321</v>
      </c>
      <c r="M368" t="n" s="4">
        <v>36840</v>
      </c>
      <c r="N368" t="n" s="6">
        <v>45405.0</v>
      </c>
      <c r="O368" t="n" s="6">
        <v>45657.0</v>
      </c>
      <c r="P368" t="s" s="1">
        <v>2009</v>
      </c>
    </row>
    <row r="369" spans="1:16">
      <c r="A369" t="n" s="4">
        <v>365</v>
      </c>
      <c r="B369" s="2">
        <f>HYPERLINK("https://my.zakupivli.pro/remote/dispatcher/state_purchase_view/50323874", "UA-2024-04-10-001660-a")</f>
        <v/>
      </c>
      <c r="C369" t="s" s="2">
        <v>1795</v>
      </c>
      <c r="D369" s="2">
        <f>HYPERLINK("https://my.zakupivli.pro/remote/dispatcher/state_contracting_view/19749433", "UA-2024-04-10-001660-a-a1")</f>
        <v/>
      </c>
      <c r="E369" t="s" s="1">
        <v>1521</v>
      </c>
      <c r="F369" t="s" s="1">
        <v>465</v>
      </c>
      <c r="G369" t="s" s="1">
        <v>465</v>
      </c>
      <c r="H369" t="s" s="1">
        <v>461</v>
      </c>
      <c r="I369" t="s" s="1">
        <v>1729</v>
      </c>
      <c r="J369" t="s" s="1">
        <v>1885</v>
      </c>
      <c r="K369" t="s" s="1">
        <v>1030</v>
      </c>
      <c r="L369" t="s" s="1">
        <v>223</v>
      </c>
      <c r="M369" t="n" s="7">
        <v>42708.79</v>
      </c>
      <c r="N369" t="n" s="6">
        <v>45392.0</v>
      </c>
      <c r="O369" t="n" s="6">
        <v>45657.0</v>
      </c>
      <c r="P369" t="s" s="1">
        <v>2009</v>
      </c>
    </row>
    <row r="370" spans="1:16">
      <c r="A370" t="n" s="4">
        <v>366</v>
      </c>
      <c r="B370" s="2">
        <f>HYPERLINK("https://my.zakupivli.pro/remote/dispatcher/state_purchase_view/53607493", "UA-2024-09-26-007554-a")</f>
        <v/>
      </c>
      <c r="C370" t="s" s="2">
        <v>1795</v>
      </c>
      <c r="D370" s="2">
        <f>HYPERLINK("https://my.zakupivli.pro/remote/dispatcher/state_contracting_view/21583732", "UA-2024-09-26-007554-a-b1")</f>
        <v/>
      </c>
      <c r="E370" t="s" s="1">
        <v>71</v>
      </c>
      <c r="F370" t="s" s="1">
        <v>953</v>
      </c>
      <c r="G370" t="s" s="1">
        <v>2049</v>
      </c>
      <c r="H370" t="s" s="1">
        <v>958</v>
      </c>
      <c r="I370" t="s" s="1">
        <v>1729</v>
      </c>
      <c r="J370" t="s" s="1">
        <v>1900</v>
      </c>
      <c r="K370" t="s" s="1">
        <v>826</v>
      </c>
      <c r="L370" t="s" s="1">
        <v>246</v>
      </c>
      <c r="M370" t="n" s="4">
        <v>45017</v>
      </c>
      <c r="N370" t="n" s="6">
        <v>45560.0</v>
      </c>
      <c r="O370" t="n" s="6">
        <v>45657.0</v>
      </c>
      <c r="P370" t="s" s="1">
        <v>2009</v>
      </c>
    </row>
    <row r="371" spans="1:16">
      <c r="A371" t="n" s="4">
        <v>367</v>
      </c>
      <c r="B371" s="2">
        <f>HYPERLINK("https://my.zakupivli.pro/remote/dispatcher/state_purchase_view/52246584", "UA-2024-07-19-004267-a")</f>
        <v/>
      </c>
      <c r="C371" s="2">
        <f>HYPERLINK("https://my.zakupivli.pro/remote/dispatcher/state_purchase_lot_view/1340430", "UA-2024-07-19-004267-a-L1340430")</f>
        <v/>
      </c>
      <c r="D371" s="2">
        <f>HYPERLINK("https://my.zakupivli.pro/remote/dispatcher/state_contracting_view/21126482", "UA-2024-07-19-004267-a-b1")</f>
        <v/>
      </c>
      <c r="E371" t="s" s="1">
        <v>1508</v>
      </c>
      <c r="F371" t="s" s="1">
        <v>189</v>
      </c>
      <c r="G371" t="s" s="1">
        <v>1793</v>
      </c>
      <c r="H371" t="s" s="1">
        <v>191</v>
      </c>
      <c r="I371" t="s" s="1">
        <v>1697</v>
      </c>
      <c r="J371" t="s" s="1">
        <v>1880</v>
      </c>
      <c r="K371" t="s" s="1">
        <v>542</v>
      </c>
      <c r="L371" t="s" s="1">
        <v>727</v>
      </c>
      <c r="M371" t="n" s="7">
        <v>346603.99</v>
      </c>
      <c r="N371" t="n" s="6">
        <v>45524.0</v>
      </c>
      <c r="O371" t="n" s="6">
        <v>45657.0</v>
      </c>
      <c r="P371" t="s" s="1">
        <v>2036</v>
      </c>
    </row>
    <row r="372" spans="1:16">
      <c r="A372" t="n" s="4">
        <v>368</v>
      </c>
      <c r="B372" s="2">
        <f>HYPERLINK("https://my.zakupivli.pro/remote/dispatcher/state_purchase_view/53057531", "UA-2024-09-03-006812-a")</f>
        <v/>
      </c>
      <c r="C372" t="s" s="2">
        <v>1795</v>
      </c>
      <c r="D372" s="2">
        <f>HYPERLINK("https://my.zakupivli.pro/remote/dispatcher/state_contracting_view/21350813", "UA-2024-09-03-006812-a-c1")</f>
        <v/>
      </c>
      <c r="E372" t="s" s="1">
        <v>1584</v>
      </c>
      <c r="F372" t="s" s="1">
        <v>116</v>
      </c>
      <c r="G372" t="s" s="1">
        <v>1970</v>
      </c>
      <c r="H372" t="s" s="1">
        <v>117</v>
      </c>
      <c r="I372" t="s" s="1">
        <v>1729</v>
      </c>
      <c r="J372" t="s" s="1">
        <v>1950</v>
      </c>
      <c r="K372" t="s" s="1">
        <v>692</v>
      </c>
      <c r="L372" t="s" s="1">
        <v>828</v>
      </c>
      <c r="M372" t="n" s="7">
        <v>999793.5</v>
      </c>
      <c r="N372" t="n" s="6">
        <v>45538.0</v>
      </c>
      <c r="O372" t="n" s="6">
        <v>45657.0</v>
      </c>
      <c r="P372" t="s" s="1">
        <v>2009</v>
      </c>
    </row>
    <row r="373" spans="1:16">
      <c r="A373" t="n" s="4">
        <v>369</v>
      </c>
      <c r="B373" s="2">
        <f>HYPERLINK("https://my.zakupivli.pro/remote/dispatcher/state_purchase_view/52841504", "UA-2024-08-21-010007-a")</f>
        <v/>
      </c>
      <c r="C373" t="s" s="2">
        <v>1795</v>
      </c>
      <c r="D373" s="2">
        <f>HYPERLINK("https://my.zakupivli.pro/remote/dispatcher/state_contracting_view/21256377", "UA-2024-08-21-010007-a-a1")</f>
        <v/>
      </c>
      <c r="E373" t="s" s="1">
        <v>1597</v>
      </c>
      <c r="F373" t="s" s="1">
        <v>201</v>
      </c>
      <c r="G373" t="s" s="1">
        <v>203</v>
      </c>
      <c r="H373" t="s" s="1">
        <v>202</v>
      </c>
      <c r="I373" t="s" s="1">
        <v>1729</v>
      </c>
      <c r="J373" t="s" s="1">
        <v>1984</v>
      </c>
      <c r="K373" t="s" s="1">
        <v>253</v>
      </c>
      <c r="L373" t="s" s="1">
        <v>770</v>
      </c>
      <c r="M373" t="n" s="7">
        <v>22732.5</v>
      </c>
      <c r="N373" t="n" s="6">
        <v>45525.0</v>
      </c>
      <c r="O373" t="n" s="6">
        <v>45657.0</v>
      </c>
      <c r="P373" t="s" s="1">
        <v>2009</v>
      </c>
    </row>
    <row r="374" spans="1:16">
      <c r="A374" t="n" s="4">
        <v>370</v>
      </c>
      <c r="B374" s="2">
        <f>HYPERLINK("https://my.zakupivli.pro/remote/dispatcher/state_purchase_view/52507484", "UA-2024-08-05-002543-a")</f>
        <v/>
      </c>
      <c r="C374" s="2">
        <f>HYPERLINK("https://my.zakupivli.pro/remote/dispatcher/state_purchase_lot_view/1353657", "UA-2024-08-05-002543-a-L1353657")</f>
        <v/>
      </c>
      <c r="D374" s="2">
        <f>HYPERLINK("https://my.zakupivli.pro/remote/dispatcher/state_contracting_view/21180964", "UA-2024-08-05-002543-a-a1")</f>
        <v/>
      </c>
      <c r="E374" t="s" s="1">
        <v>1392</v>
      </c>
      <c r="F374" t="s" s="1">
        <v>1002</v>
      </c>
      <c r="G374" t="s" s="1">
        <v>1989</v>
      </c>
      <c r="H374" t="s" s="1">
        <v>999</v>
      </c>
      <c r="I374" t="s" s="1">
        <v>1697</v>
      </c>
      <c r="J374" t="s" s="1">
        <v>1891</v>
      </c>
      <c r="K374" t="s" s="1">
        <v>445</v>
      </c>
      <c r="L374" t="s" s="1">
        <v>778</v>
      </c>
      <c r="M374" t="n" s="7">
        <v>213009.6</v>
      </c>
      <c r="N374" t="n" s="6">
        <v>45527.0</v>
      </c>
      <c r="O374" t="n" s="6">
        <v>45657.0</v>
      </c>
      <c r="P374" t="s" s="1">
        <v>2009</v>
      </c>
    </row>
    <row r="375" spans="1:16">
      <c r="A375" t="n" s="4">
        <v>371</v>
      </c>
      <c r="B375" s="2">
        <f>HYPERLINK("https://my.zakupivli.pro/remote/dispatcher/state_purchase_view/52862989", "UA-2024-08-22-007857-a")</f>
        <v/>
      </c>
      <c r="C375" t="s" s="2">
        <v>1795</v>
      </c>
      <c r="D375" s="2">
        <f>HYPERLINK("https://my.zakupivli.pro/remote/dispatcher/state_contracting_view/21266221", "UA-2024-08-22-007857-a-b1")</f>
        <v/>
      </c>
      <c r="E375" t="s" s="1">
        <v>327</v>
      </c>
      <c r="F375" t="s" s="1">
        <v>927</v>
      </c>
      <c r="G375" t="s" s="1">
        <v>927</v>
      </c>
      <c r="H375" t="s" s="1">
        <v>925</v>
      </c>
      <c r="I375" t="s" s="1">
        <v>1729</v>
      </c>
      <c r="J375" t="s" s="1">
        <v>1911</v>
      </c>
      <c r="K375" t="s" s="1">
        <v>723</v>
      </c>
      <c r="L375" t="s" s="1">
        <v>768</v>
      </c>
      <c r="M375" t="n" s="7">
        <v>6422.0</v>
      </c>
      <c r="N375" t="n" s="6">
        <v>45525.0</v>
      </c>
      <c r="O375" t="n" s="6">
        <v>45657.0</v>
      </c>
      <c r="P375" t="s" s="1">
        <v>2009</v>
      </c>
    </row>
    <row r="376" spans="1:16">
      <c r="A376" t="n" s="4">
        <v>372</v>
      </c>
      <c r="B376" s="2">
        <f>HYPERLINK("https://my.zakupivli.pro/remote/dispatcher/state_purchase_view/52462255", "UA-2024-08-01-005078-a")</f>
        <v/>
      </c>
      <c r="C376" t="s" s="2">
        <v>1795</v>
      </c>
      <c r="D376" s="2">
        <f>HYPERLINK("https://my.zakupivli.pro/remote/dispatcher/state_contracting_view/21092351", "UA-2024-08-01-005078-a-c1")</f>
        <v/>
      </c>
      <c r="E376" t="s" s="1">
        <v>1642</v>
      </c>
      <c r="F376" t="s" s="1">
        <v>1359</v>
      </c>
      <c r="G376" t="s" s="1">
        <v>2060</v>
      </c>
      <c r="H376" t="s" s="1">
        <v>1360</v>
      </c>
      <c r="I376" t="s" s="1">
        <v>1729</v>
      </c>
      <c r="J376" t="s" s="1">
        <v>1987</v>
      </c>
      <c r="K376" t="s" s="1">
        <v>553</v>
      </c>
      <c r="L376" t="s" s="1">
        <v>66</v>
      </c>
      <c r="M376" t="n" s="4">
        <v>5100</v>
      </c>
      <c r="N376" t="n" s="6">
        <v>45503.0</v>
      </c>
      <c r="O376" t="n" s="6">
        <v>45657.0</v>
      </c>
      <c r="P376" t="s" s="1">
        <v>2009</v>
      </c>
    </row>
    <row r="377" spans="1:16">
      <c r="A377" t="n" s="4">
        <v>373</v>
      </c>
      <c r="B377" s="2">
        <f>HYPERLINK("https://my.zakupivli.pro/remote/dispatcher/state_purchase_view/50902984", "UA-2024-05-09-003294-a")</f>
        <v/>
      </c>
      <c r="C377" s="2">
        <f>HYPERLINK("https://my.zakupivli.pro/remote/dispatcher/state_purchase_lot_view/1279748", "UA-2024-05-09-003294-a-L1279748")</f>
        <v/>
      </c>
      <c r="D377" s="2">
        <f>HYPERLINK("https://my.zakupivli.pro/remote/dispatcher/state_contracting_view/20579216", "UA-2024-05-09-003294-a-b1")</f>
        <v/>
      </c>
      <c r="E377" t="s" s="1">
        <v>1437</v>
      </c>
      <c r="F377" t="s" s="1">
        <v>967</v>
      </c>
      <c r="G377" t="s" s="1">
        <v>1745</v>
      </c>
      <c r="H377" t="s" s="1">
        <v>970</v>
      </c>
      <c r="I377" t="s" s="1">
        <v>1697</v>
      </c>
      <c r="J377" t="s" s="1">
        <v>1883</v>
      </c>
      <c r="K377" t="s" s="1">
        <v>650</v>
      </c>
      <c r="L377" t="s" s="1">
        <v>473</v>
      </c>
      <c r="M377" t="n" s="7">
        <v>81090.42</v>
      </c>
      <c r="N377" t="n" s="6">
        <v>45455.0</v>
      </c>
      <c r="O377" t="n" s="6">
        <v>45657.0</v>
      </c>
      <c r="P377" t="s" s="1">
        <v>2036</v>
      </c>
    </row>
    <row r="378" spans="1:16">
      <c r="A378" t="n" s="4">
        <v>374</v>
      </c>
      <c r="B378" s="2">
        <f>HYPERLINK("https://my.zakupivli.pro/remote/dispatcher/state_purchase_view/53480780", "UA-2024-09-20-011630-a")</f>
        <v/>
      </c>
      <c r="C378" s="2">
        <f>HYPERLINK("https://my.zakupivli.pro/remote/dispatcher/state_purchase_lot_view/1398569", "UA-2024-09-20-011630-a-L1398569")</f>
        <v/>
      </c>
      <c r="D378" s="2">
        <f>HYPERLINK("https://my.zakupivli.pro/remote/dispatcher/state_contracting_view/21640672", "UA-2024-09-20-011630-a-a1")</f>
        <v/>
      </c>
      <c r="E378" t="s" s="1">
        <v>16</v>
      </c>
      <c r="F378" t="s" s="1">
        <v>175</v>
      </c>
      <c r="G378" t="s" s="1">
        <v>1860</v>
      </c>
      <c r="H378" t="s" s="1">
        <v>178</v>
      </c>
      <c r="I378" t="s" s="1">
        <v>1697</v>
      </c>
      <c r="J378" t="s" s="1">
        <v>1890</v>
      </c>
      <c r="K378" t="s" s="1">
        <v>199</v>
      </c>
      <c r="L378" t="s" s="1">
        <v>1131</v>
      </c>
      <c r="M378" t="n" s="7">
        <v>156600.0</v>
      </c>
      <c r="N378" t="n" s="6">
        <v>45579.0</v>
      </c>
      <c r="O378" t="n" s="6">
        <v>45657.0</v>
      </c>
      <c r="P378" t="s" s="1">
        <v>2036</v>
      </c>
    </row>
    <row r="379" spans="1:16">
      <c r="A379" t="n" s="4">
        <v>375</v>
      </c>
      <c r="B379" s="2">
        <f>HYPERLINK("https://my.zakupivli.pro/remote/dispatcher/state_purchase_view/54366264", "UA-2024-10-29-003803-a")</f>
        <v/>
      </c>
      <c r="C379" s="2">
        <f>HYPERLINK("https://my.zakupivli.pro/remote/dispatcher/state_purchase_lot_view/1438319", "UA-2024-10-29-003803-a-L1438319")</f>
        <v/>
      </c>
      <c r="D379" s="2">
        <f>HYPERLINK("https://my.zakupivli.pro/remote/dispatcher/state_contracting_view/22004386", "UA-2024-10-29-003803-a-b1")</f>
        <v/>
      </c>
      <c r="E379" t="s" s="1">
        <v>388</v>
      </c>
      <c r="F379" t="s" s="1">
        <v>448</v>
      </c>
      <c r="G379" t="s" s="1">
        <v>1969</v>
      </c>
      <c r="H379" t="s" s="1">
        <v>446</v>
      </c>
      <c r="I379" t="s" s="1">
        <v>1697</v>
      </c>
      <c r="J379" t="s" s="1">
        <v>1720</v>
      </c>
      <c r="K379" t="s" s="1">
        <v>809</v>
      </c>
      <c r="L379" t="s" s="1">
        <v>1159</v>
      </c>
      <c r="M379" t="n" s="7">
        <v>290000.0</v>
      </c>
      <c r="N379" t="n" s="6">
        <v>45611.0</v>
      </c>
      <c r="O379" t="n" s="6">
        <v>45657.0</v>
      </c>
      <c r="P379" t="s" s="1">
        <v>2036</v>
      </c>
    </row>
    <row r="380" spans="1:16">
      <c r="A380" t="n" s="4">
        <v>376</v>
      </c>
      <c r="B380" s="2">
        <f>HYPERLINK("https://my.zakupivli.pro/remote/dispatcher/state_purchase_view/54313026", "UA-2024-10-25-012648-a")</f>
        <v/>
      </c>
      <c r="C380" s="2">
        <f>HYPERLINK("https://my.zakupivli.pro/remote/dispatcher/state_purchase_lot_view/1436115", "UA-2024-10-25-012648-a-L1436115")</f>
        <v/>
      </c>
      <c r="D380" s="2">
        <f>HYPERLINK("https://my.zakupivli.pro/remote/dispatcher/state_contracting_view/22395083", "UA-2024-10-25-012648-a-a2")</f>
        <v/>
      </c>
      <c r="E380" t="s" s="1">
        <v>334</v>
      </c>
      <c r="F380" t="s" s="1">
        <v>619</v>
      </c>
      <c r="G380" t="s" s="1">
        <v>1852</v>
      </c>
      <c r="H380" t="s" s="1">
        <v>623</v>
      </c>
      <c r="I380" t="s" s="1">
        <v>1697</v>
      </c>
      <c r="J380" t="s" s="1">
        <v>1947</v>
      </c>
      <c r="K380" t="s" s="1">
        <v>892</v>
      </c>
      <c r="L380" t="s" s="1">
        <v>1207</v>
      </c>
      <c r="M380" t="n" s="7">
        <v>2898720.0</v>
      </c>
      <c r="N380" t="n" s="6">
        <v>45639.0</v>
      </c>
      <c r="O380" t="n" s="6">
        <v>45657.0</v>
      </c>
      <c r="P380" t="s" s="1">
        <v>2036</v>
      </c>
    </row>
    <row r="381" spans="1:16">
      <c r="A381" t="n" s="4">
        <v>377</v>
      </c>
      <c r="B381" s="2">
        <f>HYPERLINK("https://my.zakupivli.pro/remote/dispatcher/state_purchase_view/48411794", "UA-2024-01-17-001453-a")</f>
        <v/>
      </c>
      <c r="C381" s="2">
        <f>HYPERLINK("https://my.zakupivli.pro/remote/dispatcher/state_purchase_lot_view/1180059", "UA-2024-01-17-001453-a-L1180059")</f>
        <v/>
      </c>
      <c r="D381" s="2">
        <f>HYPERLINK("https://my.zakupivli.pro/remote/dispatcher/state_contracting_view/19195939", "UA-2024-01-17-001453-a-c1")</f>
        <v/>
      </c>
      <c r="E381" t="s" s="1">
        <v>1164</v>
      </c>
      <c r="F381" t="s" s="1">
        <v>120</v>
      </c>
      <c r="G381" t="s" s="1">
        <v>1851</v>
      </c>
      <c r="H381" t="s" s="1">
        <v>119</v>
      </c>
      <c r="I381" t="s" s="1">
        <v>1697</v>
      </c>
      <c r="J381" t="s" s="1">
        <v>1776</v>
      </c>
      <c r="K381" t="s" s="1">
        <v>691</v>
      </c>
      <c r="L381" t="s" s="1">
        <v>1483</v>
      </c>
      <c r="M381" t="n" s="7">
        <v>314122.8</v>
      </c>
      <c r="N381" t="n" s="6">
        <v>45330.0</v>
      </c>
      <c r="O381" t="n" s="6">
        <v>45657.0</v>
      </c>
      <c r="P381" t="s" s="1">
        <v>2036</v>
      </c>
    </row>
    <row r="382" spans="1:16">
      <c r="A382" t="n" s="4">
        <v>378</v>
      </c>
      <c r="B382" s="2">
        <f>HYPERLINK("https://my.zakupivli.pro/remote/dispatcher/state_purchase_view/50333914", "UA-2024-04-10-005990-a")</f>
        <v/>
      </c>
      <c r="C382" t="s" s="2">
        <v>1795</v>
      </c>
      <c r="D382" s="2">
        <f>HYPERLINK("https://my.zakupivli.pro/remote/dispatcher/state_contracting_view/19753907", "UA-2024-04-10-005990-a-c1")</f>
        <v/>
      </c>
      <c r="E382" t="s" s="1">
        <v>1655</v>
      </c>
      <c r="F382" t="s" s="1">
        <v>1349</v>
      </c>
      <c r="G382" t="s" s="1">
        <v>2062</v>
      </c>
      <c r="H382" t="s" s="1">
        <v>1350</v>
      </c>
      <c r="I382" t="s" s="1">
        <v>1729</v>
      </c>
      <c r="J382" t="s" s="1">
        <v>1898</v>
      </c>
      <c r="K382" t="s" s="1">
        <v>656</v>
      </c>
      <c r="L382" t="s" s="1">
        <v>1451</v>
      </c>
      <c r="M382" t="n" s="4">
        <v>4500</v>
      </c>
      <c r="N382" t="n" s="6">
        <v>45387.0</v>
      </c>
      <c r="O382" t="n" s="6">
        <v>45626.0</v>
      </c>
      <c r="P382" t="s" s="1">
        <v>2009</v>
      </c>
    </row>
    <row r="383" spans="1:16">
      <c r="A383" t="n" s="4">
        <v>379</v>
      </c>
      <c r="B383" s="2">
        <f>HYPERLINK("https://my.zakupivli.pro/remote/dispatcher/state_purchase_view/53048027", "UA-2024-09-03-002480-a")</f>
        <v/>
      </c>
      <c r="C383" t="s" s="2">
        <v>1795</v>
      </c>
      <c r="D383" s="2">
        <f>HYPERLINK("https://my.zakupivli.pro/remote/dispatcher/state_contracting_view/21346820", "UA-2024-09-03-002480-a-c1")</f>
        <v/>
      </c>
      <c r="E383" t="s" s="1">
        <v>254</v>
      </c>
      <c r="F383" t="s" s="1">
        <v>266</v>
      </c>
      <c r="G383" t="s" s="1">
        <v>266</v>
      </c>
      <c r="H383" t="s" s="1">
        <v>265</v>
      </c>
      <c r="I383" t="s" s="1">
        <v>1729</v>
      </c>
      <c r="J383" t="s" s="1">
        <v>1671</v>
      </c>
      <c r="K383" t="s" s="1">
        <v>257</v>
      </c>
      <c r="L383" t="s" s="1">
        <v>360</v>
      </c>
      <c r="M383" t="n" s="4">
        <v>14850</v>
      </c>
      <c r="N383" t="n" s="6">
        <v>45538.0</v>
      </c>
      <c r="O383" t="n" s="6">
        <v>45565.0</v>
      </c>
      <c r="P383" t="s" s="1">
        <v>2009</v>
      </c>
    </row>
    <row r="384" spans="1:16">
      <c r="A384" t="n" s="4">
        <v>380</v>
      </c>
      <c r="B384" s="2">
        <f>HYPERLINK("https://my.zakupivli.pro/remote/dispatcher/state_purchase_view/53281530", "UA-2024-09-12-010684-a")</f>
        <v/>
      </c>
      <c r="C384" s="2">
        <f>HYPERLINK("https://my.zakupivli.pro/remote/dispatcher/state_purchase_lot_view/1388959", "UA-2024-09-12-010684-a-L1388959")</f>
        <v/>
      </c>
      <c r="D384" s="2">
        <f>HYPERLINK("https://my.zakupivli.pro/remote/dispatcher/state_contracting_view/21522977", "UA-2024-09-12-010684-a-c1")</f>
        <v/>
      </c>
      <c r="E384" t="s" s="1">
        <v>910</v>
      </c>
      <c r="F384" t="s" s="1">
        <v>474</v>
      </c>
      <c r="G384" t="s" s="1">
        <v>1726</v>
      </c>
      <c r="H384" t="s" s="1">
        <v>476</v>
      </c>
      <c r="I384" t="s" s="1">
        <v>1697</v>
      </c>
      <c r="J384" t="s" s="1">
        <v>1886</v>
      </c>
      <c r="K384" t="s" s="1">
        <v>659</v>
      </c>
      <c r="L384" t="s" s="1">
        <v>1082</v>
      </c>
      <c r="M384" t="n" s="7">
        <v>166500.0</v>
      </c>
      <c r="N384" t="n" s="6">
        <v>45561.0</v>
      </c>
      <c r="O384" t="n" s="6">
        <v>45561.0</v>
      </c>
      <c r="P384" t="s" s="1">
        <v>2036</v>
      </c>
    </row>
    <row r="385" spans="1:16">
      <c r="A385" t="n" s="4">
        <v>381</v>
      </c>
      <c r="B385" s="2">
        <f>HYPERLINK("https://my.zakupivli.pro/remote/dispatcher/state_purchase_view/50512862", "UA-2024-04-18-007234-a")</f>
        <v/>
      </c>
      <c r="C385" t="s" s="2">
        <v>1795</v>
      </c>
      <c r="D385" s="2">
        <f>HYPERLINK("https://my.zakupivli.pro/remote/dispatcher/state_contracting_view/19834109", "UA-2024-04-18-007234-a-b1")</f>
        <v/>
      </c>
      <c r="E385" t="s" s="1">
        <v>228</v>
      </c>
      <c r="F385" t="s" s="1">
        <v>1334</v>
      </c>
      <c r="G385" t="s" s="1">
        <v>1959</v>
      </c>
      <c r="H385" t="s" s="1">
        <v>1333</v>
      </c>
      <c r="I385" t="s" s="1">
        <v>1729</v>
      </c>
      <c r="J385" t="s" s="1">
        <v>1798</v>
      </c>
      <c r="K385" t="s" s="1">
        <v>430</v>
      </c>
      <c r="L385" t="s" s="1">
        <v>244</v>
      </c>
      <c r="M385" t="n" s="4">
        <v>49990</v>
      </c>
      <c r="N385" t="n" s="6">
        <v>45397.0</v>
      </c>
      <c r="O385" t="n" s="6">
        <v>45504.0</v>
      </c>
      <c r="P385" t="s" s="1">
        <v>2009</v>
      </c>
    </row>
    <row r="386" spans="1:16">
      <c r="A386" t="n" s="4">
        <v>382</v>
      </c>
      <c r="B386" s="2">
        <f>HYPERLINK("https://my.zakupivli.pro/remote/dispatcher/state_purchase_view/51170304", "UA-2024-05-22-009220-a")</f>
        <v/>
      </c>
      <c r="C386" t="s" s="2">
        <v>1795</v>
      </c>
      <c r="D386" s="2">
        <f>HYPERLINK("https://my.zakupivli.pro/remote/dispatcher/state_contracting_view/20529625", "UA-2024-05-22-009220-a-c1")</f>
        <v/>
      </c>
      <c r="E386" t="s" s="1">
        <v>1621</v>
      </c>
      <c r="F386" t="s" s="1">
        <v>1320</v>
      </c>
      <c r="G386" t="s" s="1">
        <v>2020</v>
      </c>
      <c r="H386" t="s" s="1">
        <v>1316</v>
      </c>
      <c r="I386" t="s" s="1">
        <v>1729</v>
      </c>
      <c r="J386" t="s" s="1">
        <v>1827</v>
      </c>
      <c r="K386" t="s" s="1">
        <v>435</v>
      </c>
      <c r="L386" t="s" s="1">
        <v>17</v>
      </c>
      <c r="M386" t="n" s="7">
        <v>46994.15</v>
      </c>
      <c r="N386" t="n" s="6">
        <v>45432.0</v>
      </c>
      <c r="O386" t="n" s="6">
        <v>45473.0</v>
      </c>
      <c r="P386" t="s" s="1">
        <v>2009</v>
      </c>
    </row>
    <row r="387" spans="1:16">
      <c r="A387" t="n" s="4">
        <v>383</v>
      </c>
      <c r="B387" s="2">
        <f>HYPERLINK("https://my.zakupivli.pro/remote/dispatcher/state_purchase_view/48490384", "UA-2024-01-18-017214-a")</f>
        <v/>
      </c>
      <c r="C387" t="s" s="2">
        <v>1795</v>
      </c>
      <c r="D387" s="2">
        <f>HYPERLINK("https://my.zakupivli.pro/remote/dispatcher/state_contracting_view/18960341", "UA-2024-01-18-017214-a-c1")</f>
        <v/>
      </c>
      <c r="E387" t="s" s="1">
        <v>1432</v>
      </c>
      <c r="F387" t="s" s="1">
        <v>1335</v>
      </c>
      <c r="G387" t="s" s="1">
        <v>1960</v>
      </c>
      <c r="H387" t="s" s="1">
        <v>1333</v>
      </c>
      <c r="I387" t="s" s="1">
        <v>1729</v>
      </c>
      <c r="J387" t="s" s="1">
        <v>1798</v>
      </c>
      <c r="K387" t="s" s="1">
        <v>430</v>
      </c>
      <c r="L387" t="s" s="1">
        <v>301</v>
      </c>
      <c r="M387" t="n" s="7">
        <v>49990.0</v>
      </c>
      <c r="N387" t="n" s="6">
        <v>45306.0</v>
      </c>
      <c r="O387" t="n" s="6">
        <v>45473.0</v>
      </c>
      <c r="P387" t="s" s="1">
        <v>2009</v>
      </c>
    </row>
    <row r="388" spans="1:16">
      <c r="A388" t="n" s="4">
        <v>384</v>
      </c>
      <c r="B388" s="2">
        <f>HYPERLINK("https://my.zakupivli.pro/remote/dispatcher/state_purchase_view/49791642", "UA-2024-03-14-005250-a")</f>
        <v/>
      </c>
      <c r="C388" t="s" s="2">
        <v>1795</v>
      </c>
      <c r="D388" s="2">
        <f>HYPERLINK("https://my.zakupivli.pro/remote/dispatcher/state_contracting_view/19518253", "UA-2024-03-14-005250-a-a1")</f>
        <v/>
      </c>
      <c r="E388" t="s" s="1">
        <v>1153</v>
      </c>
      <c r="F388" t="s" s="1">
        <v>48</v>
      </c>
      <c r="G388" t="s" s="1">
        <v>2034</v>
      </c>
      <c r="H388" t="s" s="1">
        <v>47</v>
      </c>
      <c r="I388" t="s" s="1">
        <v>1729</v>
      </c>
      <c r="J388" t="s" s="1">
        <v>1712</v>
      </c>
      <c r="K388" t="s" s="1">
        <v>210</v>
      </c>
      <c r="L388" t="s" s="1">
        <v>145</v>
      </c>
      <c r="M388" t="n" s="7">
        <v>2239102.78</v>
      </c>
      <c r="N388" t="n" s="6">
        <v>45362.0</v>
      </c>
      <c r="O388" t="n" s="6">
        <v>45412.0</v>
      </c>
      <c r="P388" t="s" s="1">
        <v>2036</v>
      </c>
    </row>
    <row r="389" spans="1:16">
      <c r="A389" t="n" s="4">
        <v>385</v>
      </c>
      <c r="B389" s="2">
        <f>HYPERLINK("https://my.zakupivli.pro/remote/dispatcher/state_purchase_view/48968712", "UA-2024-02-06-007698-a")</f>
        <v/>
      </c>
      <c r="C389" t="s" s="2">
        <v>1795</v>
      </c>
      <c r="D389" s="2">
        <f>HYPERLINK("https://my.zakupivli.pro/remote/dispatcher/state_contracting_view/19165622", "UA-2024-02-06-007698-a-c1")</f>
        <v/>
      </c>
      <c r="E389" t="s" s="1">
        <v>1440</v>
      </c>
      <c r="F389" t="s" s="1">
        <v>1319</v>
      </c>
      <c r="G389" t="s" s="1">
        <v>2014</v>
      </c>
      <c r="H389" t="s" s="1">
        <v>1316</v>
      </c>
      <c r="I389" t="s" s="1">
        <v>1729</v>
      </c>
      <c r="J389" t="s" s="1">
        <v>1827</v>
      </c>
      <c r="K389" t="s" s="1">
        <v>435</v>
      </c>
      <c r="L389" t="s" s="1">
        <v>14</v>
      </c>
      <c r="M389" t="n" s="7">
        <v>128900.0</v>
      </c>
      <c r="N389" t="n" s="6">
        <v>45328.0</v>
      </c>
      <c r="O389" t="n" s="6">
        <v>45382.0</v>
      </c>
      <c r="P389" t="s" s="1">
        <v>2009</v>
      </c>
    </row>
    <row r="390" spans="1:16">
      <c r="A390" t="n" s="4">
        <v>386</v>
      </c>
      <c r="B390" s="2">
        <f>HYPERLINK("https://my.zakupivli.pro/remote/dispatcher/state_purchase_view/48939182", "UA-2024-02-05-010734-a")</f>
        <v/>
      </c>
      <c r="C390" t="s" s="2">
        <v>1795</v>
      </c>
      <c r="D390" s="2">
        <f>HYPERLINK("https://my.zakupivli.pro/remote/dispatcher/state_contracting_view/19152871", "UA-2024-02-05-010734-a-a1")</f>
        <v/>
      </c>
      <c r="E390" t="s" s="1">
        <v>1247</v>
      </c>
      <c r="F390" t="s" s="1">
        <v>1411</v>
      </c>
      <c r="G390" t="s" s="1">
        <v>2052</v>
      </c>
      <c r="H390" t="s" s="1">
        <v>1408</v>
      </c>
      <c r="I390" t="s" s="1">
        <v>1729</v>
      </c>
      <c r="J390" t="s" s="1">
        <v>1901</v>
      </c>
      <c r="K390" t="s" s="1">
        <v>642</v>
      </c>
      <c r="L390" t="s" s="1">
        <v>1167</v>
      </c>
      <c r="M390" t="n" s="7">
        <v>14800.0</v>
      </c>
      <c r="N390" t="n" s="6">
        <v>45327.0</v>
      </c>
      <c r="O390" t="n" s="6">
        <v>45351.0</v>
      </c>
      <c r="P390" t="s" s="1">
        <v>2009</v>
      </c>
    </row>
    <row r="391" spans="1:16">
      <c r="A391" t="n" s="4">
        <v>387</v>
      </c>
      <c r="B391" s="2">
        <f>HYPERLINK("https://my.zakupivli.pro/remote/dispatcher/state_purchase_view/48921040", "UA-2024-02-05-002703-a")</f>
        <v/>
      </c>
      <c r="C391" t="s" s="2">
        <v>1795</v>
      </c>
      <c r="D391" s="2">
        <f>HYPERLINK("https://my.zakupivli.pro/remote/dispatcher/state_contracting_view/19145254", "UA-2024-02-05-002703-a-b1")</f>
        <v/>
      </c>
      <c r="E391" t="s" s="1">
        <v>263</v>
      </c>
      <c r="F391" t="s" s="1">
        <v>1253</v>
      </c>
      <c r="G391" t="s" s="1">
        <v>2066</v>
      </c>
      <c r="H391" t="s" s="1">
        <v>1254</v>
      </c>
      <c r="I391" t="s" s="1">
        <v>1729</v>
      </c>
      <c r="J391" t="s" s="1">
        <v>1829</v>
      </c>
      <c r="K391" t="s" s="1">
        <v>504</v>
      </c>
      <c r="L391" t="s" s="1">
        <v>1368</v>
      </c>
      <c r="M391" t="n" s="7">
        <v>10000.0</v>
      </c>
      <c r="N391" t="n" s="6">
        <v>45322.0</v>
      </c>
      <c r="O391" t="n" s="6">
        <v>45351.0</v>
      </c>
      <c r="P391" t="s" s="1">
        <v>2009</v>
      </c>
    </row>
    <row r="392" spans="1:16">
      <c r="A392" t="s" s="1">
        <v>1730</v>
      </c>
    </row>
  </sheetData>
  <autoFilter ref="A4:P391"/>
  <hyperlinks>
    <hyperlink display="mailto:report-feedback@zakupivli.pro" ref="A2" r:id="rId1"/>
    <hyperlink display="https://my.zakupivli.pro/remote/dispatcher/state_purchase_view/54931303" ref="B5" r:id="rId2"/>
    <hyperlink display="https://my.zakupivli.pro/remote/dispatcher/state_contracting_view/22153926" ref="D5" r:id="rId3"/>
    <hyperlink display="https://my.zakupivli.pro/remote/dispatcher/state_purchase_view/56326408" ref="B6" r:id="rId4"/>
    <hyperlink display="https://my.zakupivli.pro/remote/dispatcher/state_contracting_view/22763651" ref="D6" r:id="rId5"/>
    <hyperlink display="https://my.zakupivli.pro/remote/dispatcher/state_purchase_view/56141855" ref="B7" r:id="rId6"/>
    <hyperlink display="https://my.zakupivli.pro/remote/dispatcher/state_contracting_view/22679893" ref="D7" r:id="rId7"/>
    <hyperlink display="https://my.zakupivli.pro/remote/dispatcher/state_purchase_view/56281921" ref="B8" r:id="rId8"/>
    <hyperlink display="https://my.zakupivli.pro/remote/dispatcher/state_contracting_view/22742865" ref="D8" r:id="rId9"/>
    <hyperlink display="https://my.zakupivli.pro/remote/dispatcher/state_purchase_view/56327524" ref="B9" r:id="rId10"/>
    <hyperlink display="https://my.zakupivli.pro/remote/dispatcher/state_contracting_view/22764094" ref="D9" r:id="rId11"/>
    <hyperlink display="https://my.zakupivli.pro/remote/dispatcher/state_purchase_view/56215622" ref="B10" r:id="rId12"/>
    <hyperlink display="https://my.zakupivli.pro/remote/dispatcher/state_contracting_view/22714788" ref="D10" r:id="rId13"/>
    <hyperlink display="https://my.zakupivli.pro/remote/dispatcher/state_purchase_view/55973027" ref="B11" r:id="rId14"/>
    <hyperlink display="https://my.zakupivli.pro/remote/dispatcher/state_contracting_view/22603557" ref="D11" r:id="rId15"/>
    <hyperlink display="https://my.zakupivli.pro/remote/dispatcher/state_purchase_view/56183012" ref="B12" r:id="rId16"/>
    <hyperlink display="https://my.zakupivli.pro/remote/dispatcher/state_contracting_view/22699133" ref="D12" r:id="rId17"/>
    <hyperlink display="https://my.zakupivli.pro/remote/dispatcher/state_purchase_view/56182077" ref="B13" r:id="rId18"/>
    <hyperlink display="https://my.zakupivli.pro/remote/dispatcher/state_contracting_view/22698675" ref="D13" r:id="rId19"/>
    <hyperlink display="https://my.zakupivli.pro/remote/dispatcher/state_purchase_view/56283391" ref="B14" r:id="rId20"/>
    <hyperlink display="https://my.zakupivli.pro/remote/dispatcher/state_contracting_view/22743612" ref="D14" r:id="rId21"/>
    <hyperlink display="https://my.zakupivli.pro/remote/dispatcher/state_purchase_view/56181108" ref="B15" r:id="rId22"/>
    <hyperlink display="https://my.zakupivli.pro/remote/dispatcher/state_contracting_view/22698232" ref="D15" r:id="rId23"/>
    <hyperlink display="https://my.zakupivli.pro/remote/dispatcher/state_purchase_view/53844946" ref="B16" r:id="rId24"/>
    <hyperlink display="https://my.zakupivli.pro/remote/dispatcher/state_purchase_lot_view/1415736" ref="C16" r:id="rId25"/>
    <hyperlink display="https://my.zakupivli.pro/remote/dispatcher/state_contracting_view/22029935" ref="D16" r:id="rId26"/>
    <hyperlink display="https://my.zakupivli.pro/remote/dispatcher/state_purchase_view/53149591" ref="B17" r:id="rId27"/>
    <hyperlink display="https://my.zakupivli.pro/remote/dispatcher/state_purchase_lot_view/1382816" ref="C17" r:id="rId28"/>
    <hyperlink display="https://my.zakupivli.pro/remote/dispatcher/state_contracting_view/21483532" ref="D17" r:id="rId29"/>
    <hyperlink display="https://my.zakupivli.pro/remote/dispatcher/state_purchase_view/51429602" ref="B18" r:id="rId30"/>
    <hyperlink display="https://my.zakupivli.pro/remote/dispatcher/state_contracting_view/20643014" ref="D18" r:id="rId31"/>
    <hyperlink display="https://my.zakupivli.pro/remote/dispatcher/state_purchase_view/55020578" ref="B19" r:id="rId32"/>
    <hyperlink display="https://my.zakupivli.pro/remote/dispatcher/state_contracting_view/22192037" ref="D19" r:id="rId33"/>
    <hyperlink display="https://my.zakupivli.pro/remote/dispatcher/state_purchase_view/55308460" ref="B20" r:id="rId34"/>
    <hyperlink display="https://my.zakupivli.pro/remote/dispatcher/state_contracting_view/22315841" ref="D20" r:id="rId35"/>
    <hyperlink display="https://my.zakupivli.pro/remote/dispatcher/state_purchase_view/53449937" ref="B21" r:id="rId36"/>
    <hyperlink display="https://my.zakupivli.pro/remote/dispatcher/state_purchase_lot_view/1396984" ref="C21" r:id="rId37"/>
    <hyperlink display="https://my.zakupivli.pro/remote/dispatcher/state_contracting_view/21685340" ref="D21" r:id="rId38"/>
    <hyperlink display="https://my.zakupivli.pro/remote/dispatcher/state_purchase_view/54852111" ref="B22" r:id="rId39"/>
    <hyperlink display="https://my.zakupivli.pro/remote/dispatcher/state_contracting_view/22119692" ref="D22" r:id="rId40"/>
    <hyperlink display="https://my.zakupivli.pro/remote/dispatcher/state_purchase_view/55386473" ref="B23" r:id="rId41"/>
    <hyperlink display="https://my.zakupivli.pro/remote/dispatcher/state_contracting_view/22349258" ref="D23" r:id="rId42"/>
    <hyperlink display="https://my.zakupivli.pro/remote/dispatcher/state_purchase_view/54928379" ref="B24" r:id="rId43"/>
    <hyperlink display="https://my.zakupivli.pro/remote/dispatcher/state_contracting_view/22152681" ref="D24" r:id="rId44"/>
    <hyperlink display="https://my.zakupivli.pro/remote/dispatcher/state_purchase_view/49785967" ref="B25" r:id="rId45"/>
    <hyperlink display="https://my.zakupivli.pro/remote/dispatcher/state_purchase_lot_view/1231549" ref="C25" r:id="rId46"/>
    <hyperlink display="https://my.zakupivli.pro/remote/dispatcher/state_contracting_view/19754136" ref="D25" r:id="rId47"/>
    <hyperlink display="https://my.zakupivli.pro/remote/dispatcher/state_purchase_view/51793938" ref="B26" r:id="rId48"/>
    <hyperlink display="https://my.zakupivli.pro/remote/dispatcher/state_purchase_lot_view/1319010" ref="C26" r:id="rId49"/>
    <hyperlink display="https://my.zakupivli.pro/remote/dispatcher/state_contracting_view/21061973" ref="D26" r:id="rId50"/>
    <hyperlink display="https://my.zakupivli.pro/remote/dispatcher/state_purchase_view/49386433" ref="B27" r:id="rId51"/>
    <hyperlink display="https://my.zakupivli.pro/remote/dispatcher/state_purchase_lot_view/1214498" ref="C27" r:id="rId52"/>
    <hyperlink display="https://my.zakupivli.pro/remote/dispatcher/state_contracting_view/19620567" ref="D27" r:id="rId53"/>
    <hyperlink display="https://my.zakupivli.pro/remote/dispatcher/state_purchase_view/51799184" ref="B28" r:id="rId54"/>
    <hyperlink display="https://my.zakupivli.pro/remote/dispatcher/state_purchase_lot_view/1319149" ref="C28" r:id="rId55"/>
    <hyperlink display="https://my.zakupivli.pro/remote/dispatcher/state_contracting_view/20900208" ref="D28" r:id="rId56"/>
    <hyperlink display="https://my.zakupivli.pro/remote/dispatcher/state_purchase_view/51105554" ref="B29" r:id="rId57"/>
    <hyperlink display="https://my.zakupivli.pro/remote/dispatcher/state_purchase_lot_view/1288652" ref="C29" r:id="rId58"/>
    <hyperlink display="https://my.zakupivli.pro/remote/dispatcher/state_contracting_view/20587479" ref="D29" r:id="rId59"/>
    <hyperlink display="https://my.zakupivli.pro/remote/dispatcher/state_purchase_view/55393983" ref="B30" r:id="rId60"/>
    <hyperlink display="https://my.zakupivli.pro/remote/dispatcher/state_contracting_view/22352445" ref="D30" r:id="rId61"/>
    <hyperlink display="https://my.zakupivli.pro/remote/dispatcher/state_purchase_view/48100520" ref="B31" r:id="rId62"/>
    <hyperlink display="https://my.zakupivli.pro/remote/dispatcher/state_purchase_lot_view/1164352" ref="C31" r:id="rId63"/>
    <hyperlink display="https://my.zakupivli.pro/remote/dispatcher/state_contracting_view/19257707" ref="D31" r:id="rId64"/>
    <hyperlink display="https://my.zakupivli.pro/remote/dispatcher/state_purchase_view/48939859" ref="B32" r:id="rId65"/>
    <hyperlink display="https://my.zakupivli.pro/remote/dispatcher/state_contracting_view/19153242" ref="D32" r:id="rId66"/>
    <hyperlink display="https://my.zakupivli.pro/remote/dispatcher/state_purchase_view/48117119" ref="B33" r:id="rId67"/>
    <hyperlink display="https://my.zakupivli.pro/remote/dispatcher/state_purchase_lot_view/1165293" ref="C33" r:id="rId68"/>
    <hyperlink display="https://my.zakupivli.pro/remote/dispatcher/state_contracting_view/19101045" ref="D33" r:id="rId69"/>
    <hyperlink display="https://my.zakupivli.pro/remote/dispatcher/state_purchase_view/49595131" ref="B34" r:id="rId70"/>
    <hyperlink display="https://my.zakupivli.pro/remote/dispatcher/state_contracting_view/19434455" ref="D34" r:id="rId71"/>
    <hyperlink display="https://my.zakupivli.pro/remote/dispatcher/state_purchase_view/56009803" ref="B35" r:id="rId72"/>
    <hyperlink display="https://my.zakupivli.pro/remote/dispatcher/state_contracting_view/22619919" ref="D35" r:id="rId73"/>
    <hyperlink display="https://my.zakupivli.pro/remote/dispatcher/state_purchase_view/48349727" ref="B36" r:id="rId74"/>
    <hyperlink display="https://my.zakupivli.pro/remote/dispatcher/state_contracting_view/18902540" ref="D36" r:id="rId75"/>
    <hyperlink display="https://my.zakupivli.pro/remote/dispatcher/state_purchase_view/49704326" ref="B37" r:id="rId76"/>
    <hyperlink display="https://my.zakupivli.pro/remote/dispatcher/state_contracting_view/19481198" ref="D37" r:id="rId77"/>
    <hyperlink display="https://my.zakupivli.pro/remote/dispatcher/state_purchase_view/51994560" ref="B38" r:id="rId78"/>
    <hyperlink display="https://my.zakupivli.pro/remote/dispatcher/state_purchase_lot_view/1328737" ref="C38" r:id="rId79"/>
    <hyperlink display="https://my.zakupivli.pro/remote/dispatcher/state_contracting_view/20977932" ref="D38" r:id="rId80"/>
    <hyperlink display="https://my.zakupivli.pro/remote/dispatcher/state_purchase_view/52413423" ref="B39" r:id="rId81"/>
    <hyperlink display="https://my.zakupivli.pro/remote/dispatcher/state_contracting_view/21071922" ref="D39" r:id="rId82"/>
    <hyperlink display="https://my.zakupivli.pro/remote/dispatcher/state_purchase_view/52414512" ref="B40" r:id="rId83"/>
    <hyperlink display="https://my.zakupivli.pro/remote/dispatcher/state_contracting_view/21072382" ref="D40" r:id="rId84"/>
    <hyperlink display="https://my.zakupivli.pro/remote/dispatcher/state_purchase_view/51270006" ref="B41" r:id="rId85"/>
    <hyperlink display="https://my.zakupivli.pro/remote/dispatcher/state_contracting_view/20573305" ref="D41" r:id="rId86"/>
    <hyperlink display="https://my.zakupivli.pro/remote/dispatcher/state_purchase_view/56123312" ref="B42" r:id="rId87"/>
    <hyperlink display="https://my.zakupivli.pro/remote/dispatcher/state_contracting_view/22671304" ref="D42" r:id="rId88"/>
    <hyperlink display="https://my.zakupivli.pro/remote/dispatcher/state_purchase_view/54585899" ref="B43" r:id="rId89"/>
    <hyperlink display="https://my.zakupivli.pro/remote/dispatcher/state_contracting_view/22006229" ref="D43" r:id="rId90"/>
    <hyperlink display="https://my.zakupivli.pro/remote/dispatcher/state_purchase_view/54618059" ref="B44" r:id="rId91"/>
    <hyperlink display="https://my.zakupivli.pro/remote/dispatcher/state_contracting_view/22019960" ref="D44" r:id="rId92"/>
    <hyperlink display="https://my.zakupivli.pro/remote/dispatcher/state_purchase_view/54619274" ref="B45" r:id="rId93"/>
    <hyperlink display="https://my.zakupivli.pro/remote/dispatcher/state_contracting_view/22020549" ref="D45" r:id="rId94"/>
    <hyperlink display="https://my.zakupivli.pro/remote/dispatcher/state_purchase_view/55106634" ref="B46" r:id="rId95"/>
    <hyperlink display="https://my.zakupivli.pro/remote/dispatcher/state_contracting_view/22229662" ref="D46" r:id="rId96"/>
    <hyperlink display="https://my.zakupivli.pro/remote/dispatcher/state_purchase_view/55431438" ref="B47" r:id="rId97"/>
    <hyperlink display="https://my.zakupivli.pro/remote/dispatcher/state_contracting_view/22368571" ref="D47" r:id="rId98"/>
    <hyperlink display="https://my.zakupivli.pro/remote/dispatcher/state_purchase_view/55383783" ref="B48" r:id="rId99"/>
    <hyperlink display="https://my.zakupivli.pro/remote/dispatcher/state_contracting_view/22348076" ref="D48" r:id="rId100"/>
    <hyperlink display="https://my.zakupivli.pro/remote/dispatcher/state_purchase_view/53360407" ref="B49" r:id="rId101"/>
    <hyperlink display="https://my.zakupivli.pro/remote/dispatcher/state_contracting_view/21479209" ref="D49" r:id="rId102"/>
    <hyperlink display="https://my.zakupivli.pro/remote/dispatcher/state_purchase_view/53393874" ref="B50" r:id="rId103"/>
    <hyperlink display="https://my.zakupivli.pro/remote/dispatcher/state_contracting_view/21493294" ref="D50" r:id="rId104"/>
    <hyperlink display="https://my.zakupivli.pro/remote/dispatcher/state_purchase_view/54143597" ref="B51" r:id="rId105"/>
    <hyperlink display="https://my.zakupivli.pro/remote/dispatcher/state_contracting_view/21815140" ref="D51" r:id="rId106"/>
    <hyperlink display="https://my.zakupivli.pro/remote/dispatcher/state_purchase_view/54145835" ref="B52" r:id="rId107"/>
    <hyperlink display="https://my.zakupivli.pro/remote/dispatcher/state_contracting_view/21816102" ref="D52" r:id="rId108"/>
    <hyperlink display="https://my.zakupivli.pro/remote/dispatcher/state_purchase_view/55251735" ref="B53" r:id="rId109"/>
    <hyperlink display="https://my.zakupivli.pro/remote/dispatcher/state_purchase_lot_view/1476858" ref="C53" r:id="rId110"/>
    <hyperlink display="https://my.zakupivli.pro/remote/dispatcher/state_contracting_view/22420554" ref="D53" r:id="rId111"/>
    <hyperlink display="https://my.zakupivli.pro/remote/dispatcher/state_purchase_view/48216719" ref="B54" r:id="rId112"/>
    <hyperlink display="https://my.zakupivli.pro/remote/dispatcher/state_contracting_view/18851054" ref="D54" r:id="rId113"/>
    <hyperlink display="https://my.zakupivli.pro/remote/dispatcher/state_purchase_view/48263597" ref="B55" r:id="rId114"/>
    <hyperlink display="https://my.zakupivli.pro/remote/dispatcher/state_contracting_view/18868842" ref="D55" r:id="rId115"/>
    <hyperlink display="https://my.zakupivli.pro/remote/dispatcher/state_purchase_view/48927256" ref="B56" r:id="rId116"/>
    <hyperlink display="https://my.zakupivli.pro/remote/dispatcher/state_contracting_view/19147922" ref="D56" r:id="rId117"/>
    <hyperlink display="https://my.zakupivli.pro/remote/dispatcher/state_purchase_view/50717080" ref="B57" r:id="rId118"/>
    <hyperlink display="https://my.zakupivli.pro/remote/dispatcher/state_purchase_lot_view/1270919" ref="C57" r:id="rId119"/>
    <hyperlink display="https://my.zakupivli.pro/remote/dispatcher/state_contracting_view/20255694" ref="D57" r:id="rId120"/>
    <hyperlink display="https://my.zakupivli.pro/remote/dispatcher/state_purchase_view/50898260" ref="B58" r:id="rId121"/>
    <hyperlink display="https://my.zakupivli.pro/remote/dispatcher/state_contracting_view/20255932" ref="D58" r:id="rId122"/>
    <hyperlink display="https://my.zakupivli.pro/remote/dispatcher/state_purchase_view/50903085" ref="B59" r:id="rId123"/>
    <hyperlink display="https://my.zakupivli.pro/remote/dispatcher/state_contracting_view/20257964" ref="D59" r:id="rId124"/>
    <hyperlink display="https://my.zakupivli.pro/remote/dispatcher/state_purchase_view/50731584" ref="B60" r:id="rId125"/>
    <hyperlink display="https://my.zakupivli.pro/remote/dispatcher/state_contracting_view/19931342" ref="D60" r:id="rId126"/>
    <hyperlink display="https://my.zakupivli.pro/remote/dispatcher/state_purchase_view/50079298" ref="B61" r:id="rId127"/>
    <hyperlink display="https://my.zakupivli.pro/remote/dispatcher/state_contracting_view/19643167" ref="D61" r:id="rId128"/>
    <hyperlink display="https://my.zakupivli.pro/remote/dispatcher/state_purchase_view/49534185" ref="B62" r:id="rId129"/>
    <hyperlink display="https://my.zakupivli.pro/remote/dispatcher/state_contracting_view/19408159" ref="D62" r:id="rId130"/>
    <hyperlink display="https://my.zakupivli.pro/remote/dispatcher/state_purchase_view/48596632" ref="B63" r:id="rId131"/>
    <hyperlink display="https://my.zakupivli.pro/remote/dispatcher/state_contracting_view/19005690" ref="D63" r:id="rId132"/>
    <hyperlink display="https://my.zakupivli.pro/remote/dispatcher/state_purchase_view/51326351" ref="B64" r:id="rId133"/>
    <hyperlink display="https://my.zakupivli.pro/remote/dispatcher/state_contracting_view/20598076" ref="D64" r:id="rId134"/>
    <hyperlink display="https://my.zakupivli.pro/remote/dispatcher/state_purchase_view/51486396" ref="B65" r:id="rId135"/>
    <hyperlink display="https://my.zakupivli.pro/remote/dispatcher/state_contracting_view/20667516" ref="D65" r:id="rId136"/>
    <hyperlink display="https://my.zakupivli.pro/remote/dispatcher/state_purchase_view/51501071" ref="B66" r:id="rId137"/>
    <hyperlink display="https://my.zakupivli.pro/remote/dispatcher/state_contracting_view/20673824" ref="D66" r:id="rId138"/>
    <hyperlink display="https://my.zakupivli.pro/remote/dispatcher/state_purchase_view/52741198" ref="B67" r:id="rId139"/>
    <hyperlink display="https://my.zakupivli.pro/remote/dispatcher/state_contracting_view/21212789" ref="D67" r:id="rId140"/>
    <hyperlink display="https://my.zakupivli.pro/remote/dispatcher/state_purchase_view/53197774" ref="B68" r:id="rId141"/>
    <hyperlink display="https://my.zakupivli.pro/remote/dispatcher/state_contracting_view/21410279" ref="D68" r:id="rId142"/>
    <hyperlink display="https://my.zakupivli.pro/remote/dispatcher/state_purchase_view/52893622" ref="B69" r:id="rId143"/>
    <hyperlink display="https://my.zakupivli.pro/remote/dispatcher/state_contracting_view/21279564" ref="D69" r:id="rId144"/>
    <hyperlink display="https://my.zakupivli.pro/remote/dispatcher/state_purchase_view/52894153" ref="B70" r:id="rId145"/>
    <hyperlink display="https://my.zakupivli.pro/remote/dispatcher/state_contracting_view/21279846" ref="D70" r:id="rId146"/>
    <hyperlink display="https://my.zakupivli.pro/remote/dispatcher/state_purchase_view/52673207" ref="B71" r:id="rId147"/>
    <hyperlink display="https://my.zakupivli.pro/remote/dispatcher/state_contracting_view/21183865" ref="D71" r:id="rId148"/>
    <hyperlink display="https://my.zakupivli.pro/remote/dispatcher/state_purchase_view/50279038" ref="B72" r:id="rId149"/>
    <hyperlink display="https://my.zakupivli.pro/remote/dispatcher/state_purchase_lot_view/1252804" ref="C72" r:id="rId150"/>
    <hyperlink display="https://my.zakupivli.pro/remote/dispatcher/state_contracting_view/19820539" ref="D72" r:id="rId151"/>
    <hyperlink display="https://my.zakupivli.pro/remote/dispatcher/state_purchase_view/49006679" ref="B73" r:id="rId152"/>
    <hyperlink display="https://my.zakupivli.pro/remote/dispatcher/state_contracting_view/19181597" ref="D73" r:id="rId153"/>
    <hyperlink display="https://my.zakupivli.pro/remote/dispatcher/state_purchase_view/51383182" ref="B74" r:id="rId154"/>
    <hyperlink display="https://my.zakupivli.pro/remote/dispatcher/state_purchase_lot_view/1300725" ref="C74" r:id="rId155"/>
    <hyperlink display="https://my.zakupivli.pro/remote/dispatcher/state_contracting_view/20692816" ref="D74" r:id="rId156"/>
    <hyperlink display="https://my.zakupivli.pro/remote/dispatcher/state_purchase_view/52574115" ref="B75" r:id="rId157"/>
    <hyperlink display="https://my.zakupivli.pro/remote/dispatcher/state_contracting_view/21140883" ref="D75" r:id="rId158"/>
    <hyperlink display="https://my.zakupivli.pro/remote/dispatcher/state_purchase_view/48258040" ref="B76" r:id="rId159"/>
    <hyperlink display="https://my.zakupivli.pro/remote/dispatcher/state_contracting_view/18866720" ref="D76" r:id="rId160"/>
    <hyperlink display="https://my.zakupivli.pro/remote/dispatcher/state_purchase_view/48923924" ref="B77" r:id="rId161"/>
    <hyperlink display="https://my.zakupivli.pro/remote/dispatcher/state_contracting_view/19146343" ref="D77" r:id="rId162"/>
    <hyperlink display="https://my.zakupivli.pro/remote/dispatcher/state_purchase_view/49271895" ref="B78" r:id="rId163"/>
    <hyperlink display="https://my.zakupivli.pro/remote/dispatcher/state_contracting_view/19295344" ref="D78" r:id="rId164"/>
    <hyperlink display="https://my.zakupivli.pro/remote/dispatcher/state_purchase_view/48833606" ref="B79" r:id="rId165"/>
    <hyperlink display="https://my.zakupivli.pro/remote/dispatcher/state_contracting_view/19107395" ref="D79" r:id="rId166"/>
    <hyperlink display="https://my.zakupivli.pro/remote/dispatcher/state_purchase_view/50426363" ref="B80" r:id="rId167"/>
    <hyperlink display="https://my.zakupivli.pro/remote/dispatcher/state_contracting_view/19795723" ref="D80" r:id="rId168"/>
    <hyperlink display="https://my.zakupivli.pro/remote/dispatcher/state_purchase_view/49757626" ref="B81" r:id="rId169"/>
    <hyperlink display="https://my.zakupivli.pro/remote/dispatcher/state_contracting_view/19504188" ref="D81" r:id="rId170"/>
    <hyperlink display="https://my.zakupivli.pro/remote/dispatcher/state_purchase_view/49349943" ref="B82" r:id="rId171"/>
    <hyperlink display="https://my.zakupivli.pro/remote/dispatcher/state_contracting_view/19329022" ref="D82" r:id="rId172"/>
    <hyperlink display="https://my.zakupivli.pro/remote/dispatcher/state_purchase_view/49860072" ref="B83" r:id="rId173"/>
    <hyperlink display="https://my.zakupivli.pro/remote/dispatcher/state_contracting_view/19547911" ref="D83" r:id="rId174"/>
    <hyperlink display="https://my.zakupivli.pro/remote/dispatcher/state_purchase_view/49706155" ref="B84" r:id="rId175"/>
    <hyperlink display="https://my.zakupivli.pro/remote/dispatcher/state_contracting_view/19481755" ref="D84" r:id="rId176"/>
    <hyperlink display="https://my.zakupivli.pro/remote/dispatcher/state_purchase_view/51121520" ref="B85" r:id="rId177"/>
    <hyperlink display="https://my.zakupivli.pro/remote/dispatcher/state_contracting_view/20508911" ref="D85" r:id="rId178"/>
    <hyperlink display="https://my.zakupivli.pro/remote/dispatcher/state_purchase_view/48641969" ref="B86" r:id="rId179"/>
    <hyperlink display="https://my.zakupivli.pro/remote/dispatcher/state_contracting_view/19024880" ref="D86" r:id="rId180"/>
    <hyperlink display="https://my.zakupivli.pro/remote/dispatcher/state_purchase_view/51453580" ref="B87" r:id="rId181"/>
    <hyperlink display="https://my.zakupivli.pro/remote/dispatcher/state_contracting_view/20653239" ref="D87" r:id="rId182"/>
    <hyperlink display="https://my.zakupivli.pro/remote/dispatcher/state_purchase_view/51416101" ref="B88" r:id="rId183"/>
    <hyperlink display="https://my.zakupivli.pro/remote/dispatcher/state_contracting_view/20637168" ref="D88" r:id="rId184"/>
    <hyperlink display="https://my.zakupivli.pro/remote/dispatcher/state_purchase_view/55726765" ref="B89" r:id="rId185"/>
    <hyperlink display="https://my.zakupivli.pro/remote/dispatcher/state_contracting_view/22495642" ref="D89" r:id="rId186"/>
    <hyperlink display="https://my.zakupivli.pro/remote/dispatcher/state_purchase_view/55336642" ref="B90" r:id="rId187"/>
    <hyperlink display="https://my.zakupivli.pro/remote/dispatcher/state_contracting_view/22327833" ref="D90" r:id="rId188"/>
    <hyperlink display="https://my.zakupivli.pro/remote/dispatcher/state_purchase_view/55183733" ref="B91" r:id="rId189"/>
    <hyperlink display="https://my.zakupivli.pro/remote/dispatcher/state_contracting_view/22262702" ref="D91" r:id="rId190"/>
    <hyperlink display="https://my.zakupivli.pro/remote/dispatcher/state_purchase_view/55601785" ref="B92" r:id="rId191"/>
    <hyperlink display="https://my.zakupivli.pro/remote/dispatcher/state_contracting_view/22441948" ref="D92" r:id="rId192"/>
    <hyperlink display="https://my.zakupivli.pro/remote/dispatcher/state_purchase_view/52508079" ref="B93" r:id="rId193"/>
    <hyperlink display="https://my.zakupivli.pro/remote/dispatcher/state_contracting_view/21112317" ref="D93" r:id="rId194"/>
    <hyperlink display="https://my.zakupivli.pro/remote/dispatcher/state_purchase_view/48887380" ref="B94" r:id="rId195"/>
    <hyperlink display="https://my.zakupivli.pro/remote/dispatcher/state_contracting_view/19130269" ref="D94" r:id="rId196"/>
    <hyperlink display="https://my.zakupivli.pro/remote/dispatcher/state_purchase_view/55495589" ref="B95" r:id="rId197"/>
    <hyperlink display="https://my.zakupivli.pro/remote/dispatcher/state_contracting_view/22396005" ref="D95" r:id="rId198"/>
    <hyperlink display="https://my.zakupivli.pro/remote/dispatcher/state_purchase_view/52331259" ref="B96" r:id="rId199"/>
    <hyperlink display="https://my.zakupivli.pro/remote/dispatcher/state_contracting_view/21035772" ref="D96" r:id="rId200"/>
    <hyperlink display="https://my.zakupivli.pro/remote/dispatcher/state_purchase_view/54039077" ref="B97" r:id="rId201"/>
    <hyperlink display="https://my.zakupivli.pro/remote/dispatcher/state_contracting_view/21769739" ref="D97" r:id="rId202"/>
    <hyperlink display="https://my.zakupivli.pro/remote/dispatcher/state_purchase_view/53607184" ref="B98" r:id="rId203"/>
    <hyperlink display="https://my.zakupivli.pro/remote/dispatcher/state_contracting_view/21583603" ref="D98" r:id="rId204"/>
    <hyperlink display="https://my.zakupivli.pro/remote/dispatcher/state_purchase_view/54342715" ref="B99" r:id="rId205"/>
    <hyperlink display="https://my.zakupivli.pro/remote/dispatcher/state_purchase_lot_view/1437363" ref="C99" r:id="rId206"/>
    <hyperlink display="https://my.zakupivli.pro/remote/dispatcher/state_contracting_view/22110993" ref="D99" r:id="rId207"/>
    <hyperlink display="https://my.zakupivli.pro/remote/dispatcher/state_purchase_view/48025995" ref="B100" r:id="rId208"/>
    <hyperlink display="https://my.zakupivli.pro/remote/dispatcher/state_purchase_lot_view/1161125" ref="C100" r:id="rId209"/>
    <hyperlink display="https://my.zakupivli.pro/remote/dispatcher/state_contracting_view/18919307" ref="D100" r:id="rId210"/>
    <hyperlink display="https://my.zakupivli.pro/remote/dispatcher/state_purchase_view/55014914" ref="B101" r:id="rId211"/>
    <hyperlink display="https://my.zakupivli.pro/remote/dispatcher/state_contracting_view/22189742" ref="D101" r:id="rId212"/>
    <hyperlink display="https://my.zakupivli.pro/remote/dispatcher/state_purchase_view/49378790" ref="B102" r:id="rId213"/>
    <hyperlink display="https://my.zakupivli.pro/remote/dispatcher/state_contracting_view/19341269" ref="D102" r:id="rId214"/>
    <hyperlink display="https://my.zakupivli.pro/remote/dispatcher/state_purchase_view/52673365" ref="B103" r:id="rId215"/>
    <hyperlink display="https://my.zakupivli.pro/remote/dispatcher/state_contracting_view/21183917" ref="D103" r:id="rId216"/>
    <hyperlink display="https://my.zakupivli.pro/remote/dispatcher/state_purchase_view/54561502" ref="B104" r:id="rId217"/>
    <hyperlink display="https://my.zakupivli.pro/remote/dispatcher/state_purchase_lot_view/1447153" ref="C104" r:id="rId218"/>
    <hyperlink display="https://my.zakupivli.pro/remote/dispatcher/state_contracting_view/22118825" ref="D104" r:id="rId219"/>
    <hyperlink display="https://my.zakupivli.pro/remote/dispatcher/state_purchase_view/50899707" ref="B105" r:id="rId220"/>
    <hyperlink display="https://my.zakupivli.pro/remote/dispatcher/state_purchase_lot_view/1279662" ref="C105" r:id="rId221"/>
    <hyperlink display="https://my.zakupivli.pro/remote/dispatcher/state_contracting_view/20522111" ref="D105" r:id="rId222"/>
    <hyperlink display="https://my.zakupivli.pro/remote/dispatcher/state_purchase_view/52890043" ref="B106" r:id="rId223"/>
    <hyperlink display="https://my.zakupivli.pro/remote/dispatcher/state_contracting_view/21278082" ref="D106" r:id="rId224"/>
    <hyperlink display="https://my.zakupivli.pro/remote/dispatcher/state_purchase_view/52889245" ref="B107" r:id="rId225"/>
    <hyperlink display="https://my.zakupivli.pro/remote/dispatcher/state_contracting_view/21277723" ref="D107" r:id="rId226"/>
    <hyperlink display="https://my.zakupivli.pro/remote/dispatcher/state_purchase_view/52902695" ref="B108" r:id="rId227"/>
    <hyperlink display="https://my.zakupivli.pro/remote/dispatcher/state_contracting_view/21283453" ref="D108" r:id="rId228"/>
    <hyperlink display="https://my.zakupivli.pro/remote/dispatcher/state_purchase_view/51995046" ref="B109" r:id="rId229"/>
    <hyperlink display="https://my.zakupivli.pro/remote/dispatcher/state_contracting_view/20888935" ref="D109" r:id="rId230"/>
    <hyperlink display="https://my.zakupivli.pro/remote/dispatcher/state_purchase_view/53387456" ref="B110" r:id="rId231"/>
    <hyperlink display="https://my.zakupivli.pro/remote/dispatcher/state_contracting_view/21490577" ref="D110" r:id="rId232"/>
    <hyperlink display="https://my.zakupivli.pro/remote/dispatcher/state_purchase_view/52974882" ref="B111" r:id="rId233"/>
    <hyperlink display="https://my.zakupivli.pro/remote/dispatcher/state_contracting_view/21315040" ref="D111" r:id="rId234"/>
    <hyperlink display="https://my.zakupivli.pro/remote/dispatcher/state_purchase_view/53903118" ref="B112" r:id="rId235"/>
    <hyperlink display="https://my.zakupivli.pro/remote/dispatcher/state_contracting_view/21710939" ref="D112" r:id="rId236"/>
    <hyperlink display="https://my.zakupivli.pro/remote/dispatcher/state_purchase_view/52060257" ref="B113" r:id="rId237"/>
    <hyperlink display="https://my.zakupivli.pro/remote/dispatcher/state_contracting_view/20917384" ref="D113" r:id="rId238"/>
    <hyperlink display="https://my.zakupivli.pro/remote/dispatcher/state_purchase_view/54145184" ref="B114" r:id="rId239"/>
    <hyperlink display="https://my.zakupivli.pro/remote/dispatcher/state_contracting_view/21815867" ref="D114" r:id="rId240"/>
    <hyperlink display="https://my.zakupivli.pro/remote/dispatcher/state_purchase_view/52926891" ref="B115" r:id="rId241"/>
    <hyperlink display="https://my.zakupivli.pro/remote/dispatcher/state_purchase_lot_view/1372674" ref="C115" r:id="rId242"/>
    <hyperlink display="https://my.zakupivli.pro/remote/dispatcher/state_contracting_view/21382371" ref="D115" r:id="rId243"/>
    <hyperlink display="https://my.zakupivli.pro/remote/dispatcher/state_purchase_view/50790410" ref="B116" r:id="rId244"/>
    <hyperlink display="https://my.zakupivli.pro/remote/dispatcher/state_contracting_view/19957169" ref="D116" r:id="rId245"/>
    <hyperlink display="https://my.zakupivli.pro/remote/dispatcher/state_purchase_view/50802675" ref="B117" r:id="rId246"/>
    <hyperlink display="https://my.zakupivli.pro/remote/dispatcher/state_contracting_view/19962620" ref="D117" r:id="rId247"/>
    <hyperlink display="https://my.zakupivli.pro/remote/dispatcher/state_purchase_view/50334741" ref="B118" r:id="rId248"/>
    <hyperlink display="https://my.zakupivli.pro/remote/dispatcher/state_contracting_view/19754246" ref="D118" r:id="rId249"/>
    <hyperlink display="https://my.zakupivli.pro/remote/dispatcher/state_purchase_view/49756575" ref="B119" r:id="rId250"/>
    <hyperlink display="https://my.zakupivli.pro/remote/dispatcher/state_contracting_view/19503579" ref="D119" r:id="rId251"/>
    <hyperlink display="https://my.zakupivli.pro/remote/dispatcher/state_purchase_view/50116041" ref="B120" r:id="rId252"/>
    <hyperlink display="https://my.zakupivli.pro/remote/dispatcher/state_purchase_lot_view/1245783" ref="C120" r:id="rId253"/>
    <hyperlink display="https://my.zakupivli.pro/remote/dispatcher/state_contracting_view/19876038" ref="D120" r:id="rId254"/>
    <hyperlink display="https://my.zakupivli.pro/remote/dispatcher/state_purchase_view/50623998" ref="B121" r:id="rId255"/>
    <hyperlink display="https://my.zakupivli.pro/remote/dispatcher/state_contracting_view/19883685" ref="D121" r:id="rId256"/>
    <hyperlink display="https://my.zakupivli.pro/remote/dispatcher/state_purchase_view/50392513" ref="B122" r:id="rId257"/>
    <hyperlink display="https://my.zakupivli.pro/remote/dispatcher/state_contracting_view/19780282" ref="D122" r:id="rId258"/>
    <hyperlink display="https://my.zakupivli.pro/remote/dispatcher/state_purchase_view/49984450" ref="B123" r:id="rId259"/>
    <hyperlink display="https://my.zakupivli.pro/remote/dispatcher/state_contracting_view/19601366" ref="D123" r:id="rId260"/>
    <hyperlink display="https://my.zakupivli.pro/remote/dispatcher/state_purchase_view/48198173" ref="B124" r:id="rId261"/>
    <hyperlink display="https://my.zakupivli.pro/remote/dispatcher/state_contracting_view/18842651" ref="D124" r:id="rId262"/>
    <hyperlink display="https://my.zakupivli.pro/remote/dispatcher/state_purchase_view/48394659" ref="B125" r:id="rId263"/>
    <hyperlink display="https://my.zakupivli.pro/remote/dispatcher/state_contracting_view/18920653" ref="D125" r:id="rId264"/>
    <hyperlink display="https://my.zakupivli.pro/remote/dispatcher/state_purchase_view/48484731" ref="B126" r:id="rId265"/>
    <hyperlink display="https://my.zakupivli.pro/remote/dispatcher/state_contracting_view/18957786" ref="D126" r:id="rId266"/>
    <hyperlink display="https://my.zakupivli.pro/remote/dispatcher/state_purchase_view/49232668" ref="B127" r:id="rId267"/>
    <hyperlink display="https://my.zakupivli.pro/remote/dispatcher/state_contracting_view/19278144" ref="D127" r:id="rId268"/>
    <hyperlink display="https://my.zakupivli.pro/remote/dispatcher/state_purchase_view/49347268" ref="B128" r:id="rId269"/>
    <hyperlink display="https://my.zakupivli.pro/remote/dispatcher/state_contracting_view/19327838" ref="D128" r:id="rId270"/>
    <hyperlink display="https://my.zakupivli.pro/remote/dispatcher/state_purchase_view/49520696" ref="B129" r:id="rId271"/>
    <hyperlink display="https://my.zakupivli.pro/remote/dispatcher/state_contracting_view/19402867" ref="D129" r:id="rId272"/>
    <hyperlink display="https://my.zakupivli.pro/remote/dispatcher/state_purchase_view/48925055" ref="B130" r:id="rId273"/>
    <hyperlink display="https://my.zakupivli.pro/remote/dispatcher/state_contracting_view/19146999" ref="D130" r:id="rId274"/>
    <hyperlink display="https://my.zakupivli.pro/remote/dispatcher/state_purchase_view/48647478" ref="B131" r:id="rId275"/>
    <hyperlink display="https://my.zakupivli.pro/remote/dispatcher/state_contracting_view/19027179" ref="D131" r:id="rId276"/>
    <hyperlink display="https://my.zakupivli.pro/remote/dispatcher/state_purchase_view/51590176" ref="B132" r:id="rId277"/>
    <hyperlink display="https://my.zakupivli.pro/remote/dispatcher/state_contracting_view/20712168" ref="D132" r:id="rId278"/>
    <hyperlink display="https://my.zakupivli.pro/remote/dispatcher/state_purchase_view/51570029" ref="B133" r:id="rId279"/>
    <hyperlink display="https://my.zakupivli.pro/remote/dispatcher/state_contracting_view/20703472" ref="D133" r:id="rId280"/>
    <hyperlink display="https://my.zakupivli.pro/remote/dispatcher/state_purchase_view/51895891" ref="B134" r:id="rId281"/>
    <hyperlink display="https://my.zakupivli.pro/remote/dispatcher/state_contracting_view/20845894" ref="D134" r:id="rId282"/>
    <hyperlink display="https://my.zakupivli.pro/remote/dispatcher/state_purchase_view/52225658" ref="B135" r:id="rId283"/>
    <hyperlink display="https://my.zakupivli.pro/remote/dispatcher/state_contracting_view/20990138" ref="D135" r:id="rId284"/>
    <hyperlink display="https://my.zakupivli.pro/remote/dispatcher/state_purchase_view/52226085" ref="B136" r:id="rId285"/>
    <hyperlink display="https://my.zakupivli.pro/remote/dispatcher/state_contracting_view/20990328" ref="D136" r:id="rId286"/>
    <hyperlink display="https://my.zakupivli.pro/remote/dispatcher/state_purchase_view/52226538" ref="B137" r:id="rId287"/>
    <hyperlink display="https://my.zakupivli.pro/remote/dispatcher/state_contracting_view/20990494" ref="D137" r:id="rId288"/>
    <hyperlink display="https://my.zakupivli.pro/remote/dispatcher/state_purchase_view/53328823" ref="B138" r:id="rId289"/>
    <hyperlink display="https://my.zakupivli.pro/remote/dispatcher/state_contracting_view/21465621" ref="D138" r:id="rId290"/>
    <hyperlink display="https://my.zakupivli.pro/remote/dispatcher/state_purchase_view/53283247" ref="B139" r:id="rId291"/>
    <hyperlink display="https://my.zakupivli.pro/remote/dispatcher/state_contracting_view/21446179" ref="D139" r:id="rId292"/>
    <hyperlink display="https://my.zakupivli.pro/remote/dispatcher/state_purchase_view/54809389" ref="B140" r:id="rId293"/>
    <hyperlink display="https://my.zakupivli.pro/remote/dispatcher/state_contracting_view/22101597" ref="D140" r:id="rId294"/>
    <hyperlink display="https://my.zakupivli.pro/remote/dispatcher/state_purchase_view/54810170" ref="B141" r:id="rId295"/>
    <hyperlink display="https://my.zakupivli.pro/remote/dispatcher/state_contracting_view/22101868" ref="D141" r:id="rId296"/>
    <hyperlink display="https://my.zakupivli.pro/remote/dispatcher/state_purchase_view/50512440" ref="B142" r:id="rId297"/>
    <hyperlink display="https://my.zakupivli.pro/remote/dispatcher/state_contracting_view/19833921" ref="D142" r:id="rId298"/>
    <hyperlink display="https://my.zakupivli.pro/remote/dispatcher/state_purchase_view/50819606" ref="B143" r:id="rId299"/>
    <hyperlink display="https://my.zakupivli.pro/remote/dispatcher/state_contracting_view/20221535" ref="D143" r:id="rId300"/>
    <hyperlink display="https://my.zakupivli.pro/remote/dispatcher/state_purchase_view/52974307" ref="B144" r:id="rId301"/>
    <hyperlink display="https://my.zakupivli.pro/remote/dispatcher/state_contracting_view/21314769" ref="D144" r:id="rId302"/>
    <hyperlink display="https://my.zakupivli.pro/remote/dispatcher/state_purchase_view/49334034" ref="B145" r:id="rId303"/>
    <hyperlink display="https://my.zakupivli.pro/remote/dispatcher/state_purchase_lot_view/1212408" ref="C145" r:id="rId304"/>
    <hyperlink display="https://my.zakupivli.pro/remote/dispatcher/state_contracting_view/19540584" ref="D145" r:id="rId305"/>
    <hyperlink display="https://my.zakupivli.pro/remote/dispatcher/state_purchase_view/48622096" ref="B146" r:id="rId306"/>
    <hyperlink display="https://my.zakupivli.pro/remote/dispatcher/state_purchase_lot_view/1186475" ref="C146" r:id="rId307"/>
    <hyperlink display="https://my.zakupivli.pro/remote/dispatcher/state_contracting_view/19304675" ref="D146" r:id="rId308"/>
    <hyperlink display="https://my.zakupivli.pro/remote/dispatcher/state_purchase_view/50337158" ref="B147" r:id="rId309"/>
    <hyperlink display="https://my.zakupivli.pro/remote/dispatcher/state_purchase_lot_view/1254749" ref="C147" r:id="rId310"/>
    <hyperlink display="https://my.zakupivli.pro/remote/dispatcher/state_contracting_view/19895006" ref="D147" r:id="rId311"/>
    <hyperlink display="https://my.zakupivli.pro/remote/dispatcher/state_purchase_view/52165531" ref="B148" r:id="rId312"/>
    <hyperlink display="https://my.zakupivli.pro/remote/dispatcher/state_purchase_lot_view/1336365" ref="C148" r:id="rId313"/>
    <hyperlink display="https://my.zakupivli.pro/remote/dispatcher/state_contracting_view/21033851" ref="D148" r:id="rId314"/>
    <hyperlink display="https://my.zakupivli.pro/remote/dispatcher/state_purchase_view/53844677" ref="B149" r:id="rId315"/>
    <hyperlink display="https://my.zakupivli.pro/remote/dispatcher/state_contracting_view/21685570" ref="D149" r:id="rId316"/>
    <hyperlink display="https://my.zakupivli.pro/remote/dispatcher/state_purchase_view/55289200" ref="B150" r:id="rId317"/>
    <hyperlink display="https://my.zakupivli.pro/remote/dispatcher/state_contracting_view/22308318" ref="D150" r:id="rId318"/>
    <hyperlink display="https://my.zakupivli.pro/remote/dispatcher/state_purchase_view/54855562" ref="B151" r:id="rId319"/>
    <hyperlink display="https://my.zakupivli.pro/remote/dispatcher/state_contracting_view/22121151" ref="D151" r:id="rId320"/>
    <hyperlink display="https://my.zakupivli.pro/remote/dispatcher/state_purchase_view/55707100" ref="B152" r:id="rId321"/>
    <hyperlink display="https://my.zakupivli.pro/remote/dispatcher/state_contracting_view/22487155" ref="D152" r:id="rId322"/>
    <hyperlink display="https://my.zakupivli.pro/remote/dispatcher/state_purchase_view/52008066" ref="B153" r:id="rId323"/>
    <hyperlink display="https://my.zakupivli.pro/remote/dispatcher/state_purchase_lot_view/1329432" ref="C153" r:id="rId324"/>
    <hyperlink display="https://my.zakupivli.pro/remote/dispatcher/state_contracting_view/20990664" ref="D153" r:id="rId325"/>
    <hyperlink display="https://my.zakupivli.pro/remote/dispatcher/state_purchase_view/54808314" ref="B154" r:id="rId326"/>
    <hyperlink display="https://my.zakupivli.pro/remote/dispatcher/state_contracting_view/22101119" ref="D154" r:id="rId327"/>
    <hyperlink display="https://my.zakupivli.pro/remote/dispatcher/state_purchase_view/55225437" ref="B155" r:id="rId328"/>
    <hyperlink display="https://my.zakupivli.pro/remote/dispatcher/state_contracting_view/22280690" ref="D155" r:id="rId329"/>
    <hyperlink display="https://my.zakupivli.pro/remote/dispatcher/state_purchase_view/53327760" ref="B156" r:id="rId330"/>
    <hyperlink display="https://my.zakupivli.pro/remote/dispatcher/state_contracting_view/21465073" ref="D156" r:id="rId331"/>
    <hyperlink display="https://my.zakupivli.pro/remote/dispatcher/state_purchase_view/55337318" ref="B157" r:id="rId332"/>
    <hyperlink display="https://my.zakupivli.pro/remote/dispatcher/state_contracting_view/22328256" ref="D157" r:id="rId333"/>
    <hyperlink display="https://my.zakupivli.pro/remote/dispatcher/state_purchase_view/53295499" ref="B158" r:id="rId334"/>
    <hyperlink display="https://my.zakupivli.pro/remote/dispatcher/state_purchase_lot_view/1389604" ref="C158" r:id="rId335"/>
    <hyperlink display="https://my.zakupivli.pro/remote/dispatcher/state_contracting_view/21586862" ref="D158" r:id="rId336"/>
    <hyperlink display="https://my.zakupivli.pro/remote/dispatcher/state_purchase_view/55081166" ref="B159" r:id="rId337"/>
    <hyperlink display="https://my.zakupivli.pro/remote/dispatcher/state_purchase_lot_view/1469905" ref="C159" r:id="rId338"/>
    <hyperlink display="https://my.zakupivli.pro/remote/dispatcher/state_contracting_view/22374052" ref="D159" r:id="rId339"/>
    <hyperlink display="https://my.zakupivli.pro/remote/dispatcher/state_purchase_view/51581539" ref="B160" r:id="rId340"/>
    <hyperlink display="https://my.zakupivli.pro/remote/dispatcher/state_purchase_lot_view/1309210" ref="C160" r:id="rId341"/>
    <hyperlink display="https://my.zakupivli.pro/remote/dispatcher/state_contracting_view/20794110" ref="D160" r:id="rId342"/>
    <hyperlink display="https://my.zakupivli.pro/remote/dispatcher/state_purchase_view/48390194" ref="B161" r:id="rId343"/>
    <hyperlink display="https://my.zakupivli.pro/remote/dispatcher/state_contracting_view/18918801" ref="D161" r:id="rId344"/>
    <hyperlink display="https://my.zakupivli.pro/remote/dispatcher/state_purchase_view/50124883" ref="B162" r:id="rId345"/>
    <hyperlink display="https://my.zakupivli.pro/remote/dispatcher/state_contracting_view/19662428" ref="D162" r:id="rId346"/>
    <hyperlink display="https://my.zakupivli.pro/remote/dispatcher/state_purchase_view/49904581" ref="B163" r:id="rId347"/>
    <hyperlink display="https://my.zakupivli.pro/remote/dispatcher/state_purchase_lot_view/1236468" ref="C163" r:id="rId348"/>
    <hyperlink display="https://my.zakupivli.pro/remote/dispatcher/state_contracting_view/19848660" ref="D163" r:id="rId349"/>
    <hyperlink display="https://my.zakupivli.pro/remote/dispatcher/state_purchase_view/48179877" ref="B164" r:id="rId350"/>
    <hyperlink display="https://my.zakupivli.pro/remote/dispatcher/state_contracting_view/18834869" ref="D164" r:id="rId351"/>
    <hyperlink display="https://my.zakupivli.pro/remote/dispatcher/state_purchase_view/48248191" ref="B165" r:id="rId352"/>
    <hyperlink display="https://my.zakupivli.pro/remote/dispatcher/state_contracting_view/18862958" ref="D165" r:id="rId353"/>
    <hyperlink display="https://my.zakupivli.pro/remote/dispatcher/state_purchase_view/48418546" ref="B166" r:id="rId354"/>
    <hyperlink display="https://my.zakupivli.pro/remote/dispatcher/state_contracting_view/18930349" ref="D166" r:id="rId355"/>
    <hyperlink display="https://my.zakupivli.pro/remote/dispatcher/state_purchase_view/48262776" ref="B167" r:id="rId356"/>
    <hyperlink display="https://my.zakupivli.pro/remote/dispatcher/state_contracting_view/18868431" ref="D167" r:id="rId357"/>
    <hyperlink display="https://my.zakupivli.pro/remote/dispatcher/state_purchase_view/50901066" ref="B168" r:id="rId358"/>
    <hyperlink display="https://my.zakupivli.pro/remote/dispatcher/state_contracting_view/20257148" ref="D168" r:id="rId359"/>
    <hyperlink display="https://my.zakupivli.pro/remote/dispatcher/state_purchase_view/49984831" ref="B169" r:id="rId360"/>
    <hyperlink display="https://my.zakupivli.pro/remote/dispatcher/state_contracting_view/19601443" ref="D169" r:id="rId361"/>
    <hyperlink display="https://my.zakupivli.pro/remote/dispatcher/state_purchase_view/50080145" ref="B170" r:id="rId362"/>
    <hyperlink display="https://my.zakupivli.pro/remote/dispatcher/state_contracting_view/19643615" ref="D170" r:id="rId363"/>
    <hyperlink display="https://my.zakupivli.pro/remote/dispatcher/state_purchase_view/51453169" ref="B171" r:id="rId364"/>
    <hyperlink display="https://my.zakupivli.pro/remote/dispatcher/state_contracting_view/20653049" ref="D171" r:id="rId365"/>
    <hyperlink display="https://my.zakupivli.pro/remote/dispatcher/state_purchase_view/51336701" ref="B172" r:id="rId366"/>
    <hyperlink display="https://my.zakupivli.pro/remote/dispatcher/state_contracting_view/20602706" ref="D172" r:id="rId367"/>
    <hyperlink display="https://my.zakupivli.pro/remote/dispatcher/state_purchase_view/51582053" ref="B173" r:id="rId368"/>
    <hyperlink display="https://my.zakupivli.pro/remote/dispatcher/state_contracting_view/20708797" ref="D173" r:id="rId369"/>
    <hyperlink display="https://my.zakupivli.pro/remote/dispatcher/state_purchase_view/51573976" ref="B174" r:id="rId370"/>
    <hyperlink display="https://my.zakupivli.pro/remote/dispatcher/state_contracting_view/20705257" ref="D174" r:id="rId371"/>
    <hyperlink display="https://my.zakupivli.pro/remote/dispatcher/state_purchase_view/51633587" ref="B175" r:id="rId372"/>
    <hyperlink display="https://my.zakupivli.pro/remote/dispatcher/state_contracting_view/20731178" ref="D175" r:id="rId373"/>
    <hyperlink display="https://my.zakupivli.pro/remote/dispatcher/state_purchase_view/51709417" ref="B176" r:id="rId374"/>
    <hyperlink display="https://my.zakupivli.pro/remote/dispatcher/state_contracting_view/20764065" ref="D176" r:id="rId375"/>
    <hyperlink display="https://my.zakupivli.pro/remote/dispatcher/state_purchase_view/51710256" ref="B177" r:id="rId376"/>
    <hyperlink display="https://my.zakupivli.pro/remote/dispatcher/state_contracting_view/20764455" ref="D177" r:id="rId377"/>
    <hyperlink display="https://my.zakupivli.pro/remote/dispatcher/state_purchase_view/51545852" ref="B178" r:id="rId378"/>
    <hyperlink display="https://my.zakupivli.pro/remote/dispatcher/state_contracting_view/20693148" ref="D178" r:id="rId379"/>
    <hyperlink display="https://my.zakupivli.pro/remote/dispatcher/state_purchase_view/48834905" ref="B179" r:id="rId380"/>
    <hyperlink display="https://my.zakupivli.pro/remote/dispatcher/state_contracting_view/19107957" ref="D179" r:id="rId381"/>
    <hyperlink display="https://my.zakupivli.pro/remote/dispatcher/state_purchase_view/48846647" ref="B180" r:id="rId382"/>
    <hyperlink display="https://my.zakupivli.pro/remote/dispatcher/state_contracting_view/19113039" ref="D180" r:id="rId383"/>
    <hyperlink display="https://my.zakupivli.pro/remote/dispatcher/state_purchase_view/49225760" ref="B181" r:id="rId384"/>
    <hyperlink display="https://my.zakupivli.pro/remote/dispatcher/state_contracting_view/19275425" ref="D181" r:id="rId385"/>
    <hyperlink display="https://my.zakupivli.pro/remote/dispatcher/state_purchase_view/49230410" ref="B182" r:id="rId386"/>
    <hyperlink display="https://my.zakupivli.pro/remote/dispatcher/state_contracting_view/19277466" ref="D182" r:id="rId387"/>
    <hyperlink display="https://my.zakupivli.pro/remote/dispatcher/state_purchase_view/49231087" ref="B183" r:id="rId388"/>
    <hyperlink display="https://my.zakupivli.pro/remote/dispatcher/state_contracting_view/19277619" ref="D183" r:id="rId389"/>
    <hyperlink display="https://my.zakupivli.pro/remote/dispatcher/state_purchase_view/49229099" ref="B184" r:id="rId390"/>
    <hyperlink display="https://my.zakupivli.pro/remote/dispatcher/state_contracting_view/19276871" ref="D184" r:id="rId391"/>
    <hyperlink display="https://my.zakupivli.pro/remote/dispatcher/state_purchase_view/49229215" ref="B185" r:id="rId392"/>
    <hyperlink display="https://my.zakupivli.pro/remote/dispatcher/state_contracting_view/19277175" ref="D185" r:id="rId393"/>
    <hyperlink display="https://my.zakupivli.pro/remote/dispatcher/state_purchase_view/49578459" ref="B186" r:id="rId394"/>
    <hyperlink display="https://my.zakupivli.pro/remote/dispatcher/state_contracting_view/19426977" ref="D186" r:id="rId395"/>
    <hyperlink display="https://my.zakupivli.pro/remote/dispatcher/state_purchase_view/49301206" ref="B187" r:id="rId396"/>
    <hyperlink display="https://my.zakupivli.pro/remote/dispatcher/state_contracting_view/19307900" ref="D187" r:id="rId397"/>
    <hyperlink display="https://my.zakupivli.pro/remote/dispatcher/state_purchase_view/51996977" ref="B188" r:id="rId398"/>
    <hyperlink display="https://my.zakupivli.pro/remote/dispatcher/state_contracting_view/20889755" ref="D188" r:id="rId399"/>
    <hyperlink display="https://my.zakupivli.pro/remote/dispatcher/state_purchase_view/48989350" ref="B189" r:id="rId400"/>
    <hyperlink display="https://my.zakupivli.pro/remote/dispatcher/state_contracting_view/19174191" ref="D189" r:id="rId401"/>
    <hyperlink display="https://my.zakupivli.pro/remote/dispatcher/state_purchase_view/49063617" ref="B190" r:id="rId402"/>
    <hyperlink display="https://my.zakupivli.pro/remote/dispatcher/state_contracting_view/19205614" ref="D190" r:id="rId403"/>
    <hyperlink display="https://my.zakupivli.pro/remote/dispatcher/state_purchase_view/52691701" ref="B191" r:id="rId404"/>
    <hyperlink display="https://my.zakupivli.pro/remote/dispatcher/state_contracting_view/21191587" ref="D191" r:id="rId405"/>
    <hyperlink display="https://my.zakupivli.pro/remote/dispatcher/state_purchase_view/52064455" ref="B192" r:id="rId406"/>
    <hyperlink display="https://my.zakupivli.pro/remote/dispatcher/state_contracting_view/20919293" ref="D192" r:id="rId407"/>
    <hyperlink display="https://my.zakupivli.pro/remote/dispatcher/state_purchase_view/53862829" ref="B193" r:id="rId408"/>
    <hyperlink display="https://my.zakupivli.pro/remote/dispatcher/state_contracting_view/21693269" ref="D193" r:id="rId409"/>
    <hyperlink display="https://my.zakupivli.pro/remote/dispatcher/state_purchase_view/55912714" ref="B194" r:id="rId410"/>
    <hyperlink display="https://my.zakupivli.pro/remote/dispatcher/state_contracting_view/22577008" ref="D194" r:id="rId411"/>
    <hyperlink display="https://my.zakupivli.pro/remote/dispatcher/state_purchase_view/55268793" ref="B195" r:id="rId412"/>
    <hyperlink display="https://my.zakupivli.pro/remote/dispatcher/state_purchase_lot_view/1477719" ref="C195" r:id="rId413"/>
    <hyperlink display="https://my.zakupivli.pro/remote/dispatcher/state_contracting_view/22495189" ref="D195" r:id="rId414"/>
    <hyperlink display="https://my.zakupivli.pro/remote/dispatcher/state_purchase_view/55486359" ref="B196" r:id="rId415"/>
    <hyperlink display="https://my.zakupivli.pro/remote/dispatcher/state_purchase_lot_view/1486780" ref="C196" r:id="rId416"/>
    <hyperlink display="https://my.zakupivli.pro/remote/dispatcher/state_contracting_view/22549939" ref="D196" r:id="rId417"/>
    <hyperlink display="https://my.zakupivli.pro/remote/dispatcher/state_purchase_view/52691280" ref="B197" r:id="rId418"/>
    <hyperlink display="https://my.zakupivli.pro/remote/dispatcher/state_contracting_view/21191383" ref="D197" r:id="rId419"/>
    <hyperlink display="https://my.zakupivli.pro/remote/dispatcher/state_purchase_view/49886169" ref="B198" r:id="rId420"/>
    <hyperlink display="https://my.zakupivli.pro/remote/dispatcher/state_purchase_lot_view/1235685" ref="C198" r:id="rId421"/>
    <hyperlink display="https://my.zakupivli.pro/remote/dispatcher/state_contracting_view/19720802" ref="D198" r:id="rId422"/>
    <hyperlink display="https://my.zakupivli.pro/remote/dispatcher/state_purchase_view/48448797" ref="B199" r:id="rId423"/>
    <hyperlink display="https://my.zakupivli.pro/remote/dispatcher/state_contracting_view/18942859" ref="D199" r:id="rId424"/>
    <hyperlink display="https://my.zakupivli.pro/remote/dispatcher/state_purchase_view/48643804" ref="B200" r:id="rId425"/>
    <hyperlink display="https://my.zakupivli.pro/remote/dispatcher/state_purchase_lot_view/1187014" ref="C200" r:id="rId426"/>
    <hyperlink display="https://my.zakupivli.pro/remote/dispatcher/state_contracting_view/19307548" ref="D200" r:id="rId427"/>
    <hyperlink display="https://my.zakupivli.pro/remote/dispatcher/state_purchase_view/53404027" ref="B201" r:id="rId428"/>
    <hyperlink display="https://my.zakupivli.pro/remote/dispatcher/state_purchase_lot_view/1394753" ref="C201" r:id="rId429"/>
    <hyperlink display="https://my.zakupivli.pro/remote/dispatcher/state_contracting_view/21615614" ref="D201" r:id="rId430"/>
    <hyperlink display="https://my.zakupivli.pro/remote/dispatcher/state_purchase_view/48698384" ref="B202" r:id="rId431"/>
    <hyperlink display="https://my.zakupivli.pro/remote/dispatcher/state_contracting_view/19048854" ref="D202" r:id="rId432"/>
    <hyperlink display="https://my.zakupivli.pro/remote/dispatcher/state_purchase_view/50900229" ref="B203" r:id="rId433"/>
    <hyperlink display="https://my.zakupivli.pro/remote/dispatcher/state_contracting_view/20256803" ref="D203" r:id="rId434"/>
    <hyperlink display="https://my.zakupivli.pro/remote/dispatcher/state_purchase_view/48832818" ref="B204" r:id="rId435"/>
    <hyperlink display="https://my.zakupivli.pro/remote/dispatcher/state_contracting_view/19107011" ref="D204" r:id="rId436"/>
    <hyperlink display="https://my.zakupivli.pro/remote/dispatcher/state_purchase_view/48992623" ref="B205" r:id="rId437"/>
    <hyperlink display="https://my.zakupivli.pro/remote/dispatcher/state_contracting_view/19175528" ref="D205" r:id="rId438"/>
    <hyperlink display="https://my.zakupivli.pro/remote/dispatcher/state_purchase_view/48737404" ref="B206" r:id="rId439"/>
    <hyperlink display="https://my.zakupivli.pro/remote/dispatcher/state_contracting_view/19065852" ref="D206" r:id="rId440"/>
    <hyperlink display="https://my.zakupivli.pro/remote/dispatcher/state_purchase_view/48931648" ref="B207" r:id="rId441"/>
    <hyperlink display="https://my.zakupivli.pro/remote/dispatcher/state_contracting_view/19149658" ref="D207" r:id="rId442"/>
    <hyperlink display="https://my.zakupivli.pro/remote/dispatcher/state_purchase_view/49269328" ref="B208" r:id="rId443"/>
    <hyperlink display="https://my.zakupivli.pro/remote/dispatcher/state_contracting_view/19294715" ref="D208" r:id="rId444"/>
    <hyperlink display="https://my.zakupivli.pro/remote/dispatcher/state_purchase_view/49426726" ref="B209" r:id="rId445"/>
    <hyperlink display="https://my.zakupivli.pro/remote/dispatcher/state_contracting_view/19361496" ref="D209" r:id="rId446"/>
    <hyperlink display="https://my.zakupivli.pro/remote/dispatcher/state_purchase_view/49315353" ref="B210" r:id="rId447"/>
    <hyperlink display="https://my.zakupivli.pro/remote/dispatcher/state_contracting_view/19314193" ref="D210" r:id="rId448"/>
    <hyperlink display="https://my.zakupivli.pro/remote/dispatcher/state_purchase_view/49348027" ref="B211" r:id="rId449"/>
    <hyperlink display="https://my.zakupivli.pro/remote/dispatcher/state_contracting_view/19328092" ref="D211" r:id="rId450"/>
    <hyperlink display="https://my.zakupivli.pro/remote/dispatcher/state_purchase_view/49645691" ref="B212" r:id="rId451"/>
    <hyperlink display="https://my.zakupivli.pro/remote/dispatcher/state_contracting_view/19455951" ref="D212" r:id="rId452"/>
    <hyperlink display="https://my.zakupivli.pro/remote/dispatcher/state_purchase_view/49859348" ref="B213" r:id="rId453"/>
    <hyperlink display="https://my.zakupivli.pro/remote/dispatcher/state_contracting_view/19547801" ref="D213" r:id="rId454"/>
    <hyperlink display="https://my.zakupivli.pro/remote/dispatcher/state_purchase_view/49908909" ref="B214" r:id="rId455"/>
    <hyperlink display="https://my.zakupivli.pro/remote/dispatcher/state_contracting_view/19569181" ref="D214" r:id="rId456"/>
    <hyperlink display="https://my.zakupivli.pro/remote/dispatcher/state_purchase_view/50392754" ref="B215" r:id="rId457"/>
    <hyperlink display="https://my.zakupivli.pro/remote/dispatcher/state_contracting_view/19780405" ref="D215" r:id="rId458"/>
    <hyperlink display="https://my.zakupivli.pro/remote/dispatcher/state_purchase_view/51021425" ref="B216" r:id="rId459"/>
    <hyperlink display="https://my.zakupivli.pro/remote/dispatcher/state_contracting_view/20308723" ref="D216" r:id="rId460"/>
    <hyperlink display="https://my.zakupivli.pro/remote/dispatcher/state_purchase_view/51537979" ref="B217" r:id="rId461"/>
    <hyperlink display="https://my.zakupivli.pro/remote/dispatcher/state_contracting_view/20689708" ref="D217" r:id="rId462"/>
    <hyperlink display="https://my.zakupivli.pro/remote/dispatcher/state_purchase_view/48259712" ref="B218" r:id="rId463"/>
    <hyperlink display="https://my.zakupivli.pro/remote/dispatcher/state_contracting_view/18867220" ref="D218" r:id="rId464"/>
    <hyperlink display="https://my.zakupivli.pro/remote/dispatcher/state_purchase_view/48319420" ref="B219" r:id="rId465"/>
    <hyperlink display="https://my.zakupivli.pro/remote/dispatcher/state_contracting_view/18890499" ref="D219" r:id="rId466"/>
    <hyperlink display="https://my.zakupivli.pro/remote/dispatcher/state_purchase_view/48323025" ref="B220" r:id="rId467"/>
    <hyperlink display="https://my.zakupivli.pro/remote/dispatcher/state_contracting_view/18891840" ref="D220" r:id="rId468"/>
    <hyperlink display="https://my.zakupivli.pro/remote/dispatcher/state_purchase_view/49934798" ref="B221" r:id="rId469"/>
    <hyperlink display="https://my.zakupivli.pro/remote/dispatcher/state_contracting_view/19579795" ref="D221" r:id="rId470"/>
    <hyperlink display="https://my.zakupivli.pro/remote/dispatcher/state_purchase_view/48989888" ref="B222" r:id="rId471"/>
    <hyperlink display="https://my.zakupivli.pro/remote/dispatcher/state_contracting_view/19174550" ref="D222" r:id="rId472"/>
    <hyperlink display="https://my.zakupivli.pro/remote/dispatcher/state_purchase_view/54809055" ref="B223" r:id="rId473"/>
    <hyperlink display="https://my.zakupivli.pro/remote/dispatcher/state_contracting_view/22101377" ref="D223" r:id="rId474"/>
    <hyperlink display="https://my.zakupivli.pro/remote/dispatcher/state_purchase_view/53627787" ref="B224" r:id="rId475"/>
    <hyperlink display="https://my.zakupivli.pro/remote/dispatcher/state_contracting_view/21592614" ref="D224" r:id="rId476"/>
    <hyperlink display="https://my.zakupivli.pro/remote/dispatcher/state_purchase_view/53607193" ref="B225" r:id="rId477"/>
    <hyperlink display="https://my.zakupivli.pro/remote/dispatcher/state_contracting_view/21583607" ref="D225" r:id="rId478"/>
    <hyperlink display="https://my.zakupivli.pro/remote/dispatcher/state_purchase_view/53460062" ref="B226" r:id="rId479"/>
    <hyperlink display="https://my.zakupivli.pro/remote/dispatcher/state_contracting_view/21520687" ref="D226" r:id="rId480"/>
    <hyperlink display="https://my.zakupivli.pro/remote/dispatcher/state_purchase_view/51051178" ref="B227" r:id="rId481"/>
    <hyperlink display="https://my.zakupivli.pro/remote/dispatcher/state_contracting_view/20321438" ref="D227" r:id="rId482"/>
    <hyperlink display="https://my.zakupivli.pro/remote/dispatcher/state_purchase_view/51577453" ref="B228" r:id="rId483"/>
    <hyperlink display="https://my.zakupivli.pro/remote/dispatcher/state_contracting_view/20706852" ref="D228" r:id="rId484"/>
    <hyperlink display="https://my.zakupivli.pro/remote/dispatcher/state_purchase_view/52862400" ref="B229" r:id="rId485"/>
    <hyperlink display="https://my.zakupivli.pro/remote/dispatcher/state_contracting_view/21266000" ref="D229" r:id="rId486"/>
    <hyperlink display="https://my.zakupivli.pro/remote/dispatcher/state_purchase_view/52365354" ref="B230" r:id="rId487"/>
    <hyperlink display="https://my.zakupivli.pro/remote/dispatcher/state_contracting_view/21050845" ref="D230" r:id="rId488"/>
    <hyperlink display="https://my.zakupivli.pro/remote/dispatcher/state_purchase_view/54215320" ref="B231" r:id="rId489"/>
    <hyperlink display="https://my.zakupivli.pro/remote/dispatcher/state_contracting_view/21845422" ref="D231" r:id="rId490"/>
    <hyperlink display="https://my.zakupivli.pro/remote/dispatcher/state_purchase_view/52890380" ref="B232" r:id="rId491"/>
    <hyperlink display="https://my.zakupivli.pro/remote/dispatcher/state_contracting_view/21278132" ref="D232" r:id="rId492"/>
    <hyperlink display="https://my.zakupivli.pro/remote/dispatcher/state_purchase_view/54085746" ref="B233" r:id="rId493"/>
    <hyperlink display="https://my.zakupivli.pro/remote/dispatcher/state_contracting_view/21789741" ref="D233" r:id="rId494"/>
    <hyperlink display="https://my.zakupivli.pro/remote/dispatcher/state_purchase_view/52340520" ref="B234" r:id="rId495"/>
    <hyperlink display="https://my.zakupivli.pro/remote/dispatcher/state_purchase_lot_view/1345179" ref="C234" r:id="rId496"/>
    <hyperlink display="https://my.zakupivli.pro/remote/dispatcher/state_contracting_view/21172259" ref="D234" r:id="rId497"/>
    <hyperlink display="https://my.zakupivli.pro/remote/dispatcher/state_purchase_view/53296775" ref="B235" r:id="rId498"/>
    <hyperlink display="https://my.zakupivli.pro/remote/dispatcher/state_purchase_lot_view/1389648" ref="C235" r:id="rId499"/>
    <hyperlink display="https://my.zakupivli.pro/remote/dispatcher/state_contracting_view/21617982" ref="D235" r:id="rId500"/>
    <hyperlink display="https://my.zakupivli.pro/remote/dispatcher/state_purchase_view/54955817" ref="B236" r:id="rId501"/>
    <hyperlink display="https://my.zakupivli.pro/remote/dispatcher/state_contracting_view/22164357" ref="D236" r:id="rId502"/>
    <hyperlink display="https://my.zakupivli.pro/remote/dispatcher/state_purchase_view/51987923" ref="B237" r:id="rId503"/>
    <hyperlink display="https://my.zakupivli.pro/remote/dispatcher/state_purchase_lot_view/1328492" ref="C237" r:id="rId504"/>
    <hyperlink display="https://my.zakupivli.pro/remote/dispatcher/state_contracting_view/20982529" ref="D237" r:id="rId505"/>
    <hyperlink display="https://my.zakupivli.pro/remote/dispatcher/state_purchase_view/55911832" ref="B238" r:id="rId506"/>
    <hyperlink display="https://my.zakupivli.pro/remote/dispatcher/state_contracting_view/22576568" ref="D238" r:id="rId507"/>
    <hyperlink display="https://my.zakupivli.pro/remote/dispatcher/state_purchase_view/55970014" ref="B239" r:id="rId508"/>
    <hyperlink display="https://my.zakupivli.pro/remote/dispatcher/state_contracting_view/22602398" ref="D239" r:id="rId509"/>
    <hyperlink display="https://my.zakupivli.pro/remote/dispatcher/state_purchase_view/51924899" ref="B240" r:id="rId510"/>
    <hyperlink display="https://my.zakupivli.pro/remote/dispatcher/state_contracting_view/20858915" ref="D240" r:id="rId511"/>
    <hyperlink display="https://my.zakupivli.pro/remote/dispatcher/state_purchase_view/49340470" ref="B241" r:id="rId512"/>
    <hyperlink display="https://my.zakupivli.pro/remote/dispatcher/state_purchase_lot_view/1212695" ref="C241" r:id="rId513"/>
    <hyperlink display="https://my.zakupivli.pro/remote/dispatcher/state_contracting_view/19595663" ref="D241" r:id="rId514"/>
    <hyperlink display="https://my.zakupivli.pro/remote/dispatcher/state_purchase_view/49387298" ref="B242" r:id="rId515"/>
    <hyperlink display="https://my.zakupivli.pro/remote/dispatcher/state_purchase_lot_view/1214545" ref="C242" r:id="rId516"/>
    <hyperlink display="https://my.zakupivli.pro/remote/dispatcher/state_contracting_view/19556260" ref="D242" r:id="rId517"/>
    <hyperlink display="https://my.zakupivli.pro/remote/dispatcher/state_purchase_view/47919556" ref="B243" r:id="rId518"/>
    <hyperlink display="https://my.zakupivli.pro/remote/dispatcher/state_purchase_lot_view/1157968" ref="C243" r:id="rId519"/>
    <hyperlink display="https://my.zakupivli.pro/remote/dispatcher/state_contracting_view/18860265" ref="D243" r:id="rId520"/>
    <hyperlink display="https://my.zakupivli.pro/remote/dispatcher/state_purchase_view/50357221" ref="B244" r:id="rId521"/>
    <hyperlink display="https://my.zakupivli.pro/remote/dispatcher/state_purchase_lot_view/1255470" ref="C244" r:id="rId522"/>
    <hyperlink display="https://my.zakupivli.pro/remote/dispatcher/state_contracting_view/19919179" ref="D244" r:id="rId523"/>
    <hyperlink display="https://my.zakupivli.pro/remote/dispatcher/state_purchase_view/48449219" ref="B245" r:id="rId524"/>
    <hyperlink display="https://my.zakupivli.pro/remote/dispatcher/state_contracting_view/18942981" ref="D245" r:id="rId525"/>
    <hyperlink display="https://my.zakupivli.pro/remote/dispatcher/state_purchase_view/53726156" ref="B246" r:id="rId526"/>
    <hyperlink display="https://my.zakupivli.pro/remote/dispatcher/state_purchase_lot_view/1410215" ref="C246" r:id="rId527"/>
    <hyperlink display="https://my.zakupivli.pro/remote/dispatcher/state_contracting_view/22173949" ref="D246" r:id="rId528"/>
    <hyperlink display="https://my.zakupivli.pro/remote/dispatcher/state_purchase_view/48181519" ref="B247" r:id="rId529"/>
    <hyperlink display="https://my.zakupivli.pro/remote/dispatcher/state_contracting_view/18835599" ref="D247" r:id="rId530"/>
    <hyperlink display="https://my.zakupivli.pro/remote/dispatcher/state_purchase_view/48179374" ref="B248" r:id="rId531"/>
    <hyperlink display="https://my.zakupivli.pro/remote/dispatcher/state_contracting_view/18834651" ref="D248" r:id="rId532"/>
    <hyperlink display="https://my.zakupivli.pro/remote/dispatcher/state_purchase_view/48158382" ref="B249" r:id="rId533"/>
    <hyperlink display="https://my.zakupivli.pro/remote/dispatcher/state_contracting_view/18825775" ref="D249" r:id="rId534"/>
    <hyperlink display="https://my.zakupivli.pro/remote/dispatcher/state_purchase_view/48462611" ref="B250" r:id="rId535"/>
    <hyperlink display="https://my.zakupivli.pro/remote/dispatcher/state_contracting_view/18948903" ref="D250" r:id="rId536"/>
    <hyperlink display="https://my.zakupivli.pro/remote/dispatcher/state_purchase_view/48465455" ref="B251" r:id="rId537"/>
    <hyperlink display="https://my.zakupivli.pro/remote/dispatcher/state_contracting_view/18950025" ref="D251" r:id="rId538"/>
    <hyperlink display="https://my.zakupivli.pro/remote/dispatcher/state_purchase_view/48265074" ref="B252" r:id="rId539"/>
    <hyperlink display="https://my.zakupivli.pro/remote/dispatcher/state_contracting_view/18869393" ref="D252" r:id="rId540"/>
    <hyperlink display="https://my.zakupivli.pro/remote/dispatcher/state_purchase_view/48264441" ref="B253" r:id="rId541"/>
    <hyperlink display="https://my.zakupivli.pro/remote/dispatcher/state_contracting_view/18869191" ref="D253" r:id="rId542"/>
    <hyperlink display="https://my.zakupivli.pro/remote/dispatcher/state_purchase_view/48934045" ref="B254" r:id="rId543"/>
    <hyperlink display="https://my.zakupivli.pro/remote/dispatcher/state_contracting_view/19150875" ref="D254" r:id="rId544"/>
    <hyperlink display="https://my.zakupivli.pro/remote/dispatcher/state_purchase_view/48608535" ref="B255" r:id="rId545"/>
    <hyperlink display="https://my.zakupivli.pro/remote/dispatcher/state_contracting_view/19010578" ref="D255" r:id="rId546"/>
    <hyperlink display="https://my.zakupivli.pro/remote/dispatcher/state_purchase_view/49522104" ref="B256" r:id="rId547"/>
    <hyperlink display="https://my.zakupivli.pro/remote/dispatcher/state_contracting_view/19402974" ref="D256" r:id="rId548"/>
    <hyperlink display="https://my.zakupivli.pro/remote/dispatcher/state_purchase_view/55726273" ref="B257" r:id="rId549"/>
    <hyperlink display="https://my.zakupivli.pro/remote/dispatcher/state_contracting_view/22495424" ref="D257" r:id="rId550"/>
    <hyperlink display="https://my.zakupivli.pro/remote/dispatcher/state_purchase_view/55395564" ref="B258" r:id="rId551"/>
    <hyperlink display="https://my.zakupivli.pro/remote/dispatcher/state_contracting_view/22353137" ref="D258" r:id="rId552"/>
    <hyperlink display="https://my.zakupivli.pro/remote/dispatcher/state_purchase_view/53460765" ref="B259" r:id="rId553"/>
    <hyperlink display="https://my.zakupivli.pro/remote/dispatcher/state_contracting_view/21520985" ref="D259" r:id="rId554"/>
    <hyperlink display="https://my.zakupivli.pro/remote/dispatcher/state_purchase_view/53836066" ref="B260" r:id="rId555"/>
    <hyperlink display="https://my.zakupivli.pro/remote/dispatcher/state_contracting_view/21681849" ref="D260" r:id="rId556"/>
    <hyperlink display="https://my.zakupivli.pro/remote/dispatcher/state_purchase_view/53546806" ref="B261" r:id="rId557"/>
    <hyperlink display="https://my.zakupivli.pro/remote/dispatcher/state_contracting_view/21557486" ref="D261" r:id="rId558"/>
    <hyperlink display="https://my.zakupivli.pro/remote/dispatcher/state_purchase_view/50623392" ref="B262" r:id="rId559"/>
    <hyperlink display="https://my.zakupivli.pro/remote/dispatcher/state_contracting_view/19883413" ref="D262" r:id="rId560"/>
    <hyperlink display="https://my.zakupivli.pro/remote/dispatcher/state_purchase_view/50640696" ref="B263" r:id="rId561"/>
    <hyperlink display="https://my.zakupivli.pro/remote/dispatcher/state_contracting_view/19891192" ref="D263" r:id="rId562"/>
    <hyperlink display="https://my.zakupivli.pro/remote/dispatcher/state_purchase_view/50110409" ref="B264" r:id="rId563"/>
    <hyperlink display="https://my.zakupivli.pro/remote/dispatcher/state_contracting_view/19656558" ref="D264" r:id="rId564"/>
    <hyperlink display="https://my.zakupivli.pro/remote/dispatcher/state_purchase_view/52510425" ref="B265" r:id="rId565"/>
    <hyperlink display="https://my.zakupivli.pro/remote/dispatcher/state_contracting_view/21113299" ref="D265" r:id="rId566"/>
    <hyperlink display="https://my.zakupivli.pro/remote/dispatcher/state_purchase_view/52314709" ref="B266" r:id="rId567"/>
    <hyperlink display="https://my.zakupivli.pro/remote/dispatcher/state_purchase_lot_view/1344005" ref="C266" r:id="rId568"/>
    <hyperlink display="https://my.zakupivli.pro/remote/dispatcher/state_contracting_view/21101879" ref="D266" r:id="rId569"/>
    <hyperlink display="https://my.zakupivli.pro/remote/dispatcher/state_purchase_view/48449295" ref="B267" r:id="rId570"/>
    <hyperlink display="https://my.zakupivli.pro/remote/dispatcher/state_contracting_view/18942983" ref="D267" r:id="rId571"/>
    <hyperlink display="https://my.zakupivli.pro/remote/dispatcher/state_purchase_view/48824836" ref="B268" r:id="rId572"/>
    <hyperlink display="https://my.zakupivli.pro/remote/dispatcher/state_contracting_view/19103770" ref="D268" r:id="rId573"/>
    <hyperlink display="https://my.zakupivli.pro/remote/dispatcher/state_purchase_view/51336197" ref="B269" r:id="rId574"/>
    <hyperlink display="https://my.zakupivli.pro/remote/dispatcher/state_contracting_view/20602519" ref="D269" r:id="rId575"/>
    <hyperlink display="https://my.zakupivli.pro/remote/dispatcher/state_purchase_view/51709840" ref="B270" r:id="rId576"/>
    <hyperlink display="https://my.zakupivli.pro/remote/dispatcher/state_contracting_view/20764252" ref="D270" r:id="rId577"/>
    <hyperlink display="https://my.zakupivli.pro/remote/dispatcher/state_purchase_view/55226091" ref="B271" r:id="rId578"/>
    <hyperlink display="https://my.zakupivli.pro/remote/dispatcher/state_contracting_view/22281006" ref="D271" r:id="rId579"/>
    <hyperlink display="https://my.zakupivli.pro/remote/dispatcher/state_purchase_view/56145664" ref="B272" r:id="rId580"/>
    <hyperlink display="https://my.zakupivli.pro/remote/dispatcher/state_contracting_view/22681583" ref="D272" r:id="rId581"/>
    <hyperlink display="https://my.zakupivli.pro/remote/dispatcher/state_purchase_view/49985184" ref="B273" r:id="rId582"/>
    <hyperlink display="https://my.zakupivli.pro/remote/dispatcher/state_contracting_view/19601683" ref="D273" r:id="rId583"/>
    <hyperlink display="https://my.zakupivli.pro/remote/dispatcher/state_purchase_view/53000897" ref="B274" r:id="rId584"/>
    <hyperlink display="https://my.zakupivli.pro/remote/dispatcher/state_contracting_view/21326433" ref="D274" r:id="rId585"/>
    <hyperlink display="https://my.zakupivli.pro/remote/dispatcher/state_purchase_view/54328406" ref="B275" r:id="rId586"/>
    <hyperlink display="https://my.zakupivli.pro/remote/dispatcher/state_contracting_view/21894797" ref="D275" r:id="rId587"/>
    <hyperlink display="https://my.zakupivli.pro/remote/dispatcher/state_purchase_view/54794281" ref="B276" r:id="rId588"/>
    <hyperlink display="https://my.zakupivli.pro/remote/dispatcher/state_contracting_view/22095029" ref="D276" r:id="rId589"/>
    <hyperlink display="https://my.zakupivli.pro/remote/dispatcher/state_purchase_view/55973608" ref="B277" r:id="rId590"/>
    <hyperlink display="https://my.zakupivli.pro/remote/dispatcher/state_contracting_view/22603772" ref="D277" r:id="rId591"/>
    <hyperlink display="https://my.zakupivli.pro/remote/dispatcher/state_purchase_view/54600681" ref="B278" r:id="rId592"/>
    <hyperlink display="https://my.zakupivli.pro/remote/dispatcher/state_purchase_lot_view/1448736" ref="C278" r:id="rId593"/>
    <hyperlink display="https://my.zakupivli.pro/remote/dispatcher/state_contracting_view/22191751" ref="D278" r:id="rId594"/>
    <hyperlink display="https://my.zakupivli.pro/remote/dispatcher/state_purchase_view/51939761" ref="B279" r:id="rId595"/>
    <hyperlink display="https://my.zakupivli.pro/remote/dispatcher/state_purchase_lot_view/1326241" ref="C279" r:id="rId596"/>
    <hyperlink display="https://my.zakupivli.pro/remote/dispatcher/state_contracting_view/20952422" ref="D279" r:id="rId597"/>
    <hyperlink display="https://my.zakupivli.pro/remote/dispatcher/state_purchase_view/49274130" ref="B280" r:id="rId598"/>
    <hyperlink display="https://my.zakupivli.pro/remote/dispatcher/state_contracting_view/19296246" ref="D280" r:id="rId599"/>
    <hyperlink display="https://my.zakupivli.pro/remote/dispatcher/state_purchase_view/50638428" ref="B281" r:id="rId600"/>
    <hyperlink display="https://my.zakupivli.pro/remote/dispatcher/state_contracting_view/19890091" ref="D281" r:id="rId601"/>
    <hyperlink display="https://my.zakupivli.pro/remote/dispatcher/state_purchase_view/49593023" ref="B282" r:id="rId602"/>
    <hyperlink display="https://my.zakupivli.pro/remote/dispatcher/state_contracting_view/19433292" ref="D282" r:id="rId603"/>
    <hyperlink display="https://my.zakupivli.pro/remote/dispatcher/state_purchase_view/49769189" ref="B283" r:id="rId604"/>
    <hyperlink display="https://my.zakupivli.pro/remote/dispatcher/state_purchase_lot_view/1230754" ref="C283" r:id="rId605"/>
    <hyperlink display="https://my.zakupivli.pro/remote/dispatcher/state_contracting_view/19720791" ref="D283" r:id="rId606"/>
    <hyperlink display="https://my.zakupivli.pro/remote/dispatcher/state_purchase_view/51311529" ref="B284" r:id="rId607"/>
    <hyperlink display="https://my.zakupivli.pro/remote/dispatcher/state_purchase_lot_view/1297024" ref="C284" r:id="rId608"/>
    <hyperlink display="https://my.zakupivli.pro/remote/dispatcher/state_contracting_view/20683771" ref="D284" r:id="rId609"/>
    <hyperlink display="https://my.zakupivli.pro/remote/dispatcher/state_purchase_view/50505487" ref="B285" r:id="rId610"/>
    <hyperlink display="https://my.zakupivli.pro/remote/dispatcher/state_purchase_lot_view/1261754" ref="C285" r:id="rId611"/>
    <hyperlink display="https://my.zakupivli.pro/remote/dispatcher/state_contracting_view/19925534" ref="D285" r:id="rId612"/>
    <hyperlink display="https://my.zakupivli.pro/remote/dispatcher/state_purchase_view/52226337" ref="B286" r:id="rId613"/>
    <hyperlink display="https://my.zakupivli.pro/remote/dispatcher/state_contracting_view/20990366" ref="D286" r:id="rId614"/>
    <hyperlink display="https://my.zakupivli.pro/remote/dispatcher/state_purchase_view/48646102" ref="B287" r:id="rId615"/>
    <hyperlink display="https://my.zakupivli.pro/remote/dispatcher/state_contracting_view/19027454" ref="D287" r:id="rId616"/>
    <hyperlink display="https://my.zakupivli.pro/remote/dispatcher/state_purchase_view/48646765" ref="B288" r:id="rId617"/>
    <hyperlink display="https://my.zakupivli.pro/remote/dispatcher/state_contracting_view/19027024" ref="D288" r:id="rId618"/>
    <hyperlink display="https://my.zakupivli.pro/remote/dispatcher/state_purchase_view/51709113" ref="B289" r:id="rId619"/>
    <hyperlink display="https://my.zakupivli.pro/remote/dispatcher/state_contracting_view/20763907" ref="D289" r:id="rId620"/>
    <hyperlink display="https://my.zakupivli.pro/remote/dispatcher/state_purchase_view/52414189" ref="B290" r:id="rId621"/>
    <hyperlink display="https://my.zakupivli.pro/remote/dispatcher/state_contracting_view/21072291" ref="D290" r:id="rId622"/>
    <hyperlink display="https://my.zakupivli.pro/remote/dispatcher/state_purchase_view/50086888" ref="B291" r:id="rId623"/>
    <hyperlink display="https://my.zakupivli.pro/remote/dispatcher/state_contracting_view/19646396" ref="D291" r:id="rId624"/>
    <hyperlink display="https://my.zakupivli.pro/remote/dispatcher/state_purchase_view/52065194" ref="B292" r:id="rId625"/>
    <hyperlink display="https://my.zakupivli.pro/remote/dispatcher/state_contracting_view/20919600" ref="D292" r:id="rId626"/>
    <hyperlink display="https://my.zakupivli.pro/remote/dispatcher/state_purchase_view/52364958" ref="B293" r:id="rId627"/>
    <hyperlink display="https://my.zakupivli.pro/remote/dispatcher/state_contracting_view/21050745" ref="D293" r:id="rId628"/>
    <hyperlink display="https://my.zakupivli.pro/remote/dispatcher/state_purchase_view/53024042" ref="B294" r:id="rId629"/>
    <hyperlink display="https://my.zakupivli.pro/remote/dispatcher/state_purchase_lot_view/1377649" ref="C294" r:id="rId630"/>
    <hyperlink display="https://my.zakupivli.pro/remote/dispatcher/state_contracting_view/21491380" ref="D294" r:id="rId631"/>
    <hyperlink display="https://my.zakupivli.pro/remote/dispatcher/state_purchase_view/53883655" ref="B295" r:id="rId632"/>
    <hyperlink display="https://my.zakupivli.pro/remote/dispatcher/state_contracting_view/21702469" ref="D295" r:id="rId633"/>
    <hyperlink display="https://my.zakupivli.pro/remote/dispatcher/state_purchase_view/54808673" ref="B296" r:id="rId634"/>
    <hyperlink display="https://my.zakupivli.pro/remote/dispatcher/state_contracting_view/22101242" ref="D296" r:id="rId635"/>
    <hyperlink display="https://my.zakupivli.pro/remote/dispatcher/state_purchase_view/56212653" ref="B297" r:id="rId636"/>
    <hyperlink display="https://my.zakupivli.pro/remote/dispatcher/state_contracting_view/22713480" ref="D297" r:id="rId637"/>
    <hyperlink display="https://my.zakupivli.pro/remote/dispatcher/state_purchase_view/48827227" ref="B298" r:id="rId638"/>
    <hyperlink display="https://my.zakupivli.pro/remote/dispatcher/state_contracting_view/19104762" ref="D298" r:id="rId639"/>
    <hyperlink display="https://my.zakupivli.pro/remote/dispatcher/state_purchase_view/53867507" ref="B299" r:id="rId640"/>
    <hyperlink display="https://my.zakupivli.pro/remote/dispatcher/state_purchase_lot_view/1416814" ref="C299" r:id="rId641"/>
    <hyperlink display="https://my.zakupivli.pro/remote/dispatcher/state_contracting_view/21792442" ref="D299" r:id="rId642"/>
    <hyperlink display="https://my.zakupivli.pro/remote/dispatcher/state_purchase_view/53714424" ref="B300" r:id="rId643"/>
    <hyperlink display="https://my.zakupivli.pro/remote/dispatcher/state_purchase_lot_view/1409683" ref="C300" r:id="rId644"/>
    <hyperlink display="https://my.zakupivli.pro/remote/dispatcher/state_contracting_view/21757672" ref="D300" r:id="rId645"/>
    <hyperlink display="https://my.zakupivli.pro/remote/dispatcher/state_purchase_view/47755226" ref="B301" r:id="rId646"/>
    <hyperlink display="https://my.zakupivli.pro/remote/dispatcher/state_purchase_lot_view/1152952" ref="C301" r:id="rId647"/>
    <hyperlink display="https://my.zakupivli.pro/remote/dispatcher/state_contracting_view/18885421" ref="D301" r:id="rId648"/>
    <hyperlink display="https://my.zakupivli.pro/remote/dispatcher/state_purchase_view/49692484" ref="B302" r:id="rId649"/>
    <hyperlink display="https://my.zakupivli.pro/remote/dispatcher/state_purchase_lot_view/1227612" ref="C302" r:id="rId650"/>
    <hyperlink display="https://my.zakupivli.pro/remote/dispatcher/state_contracting_view/19646256" ref="D302" r:id="rId651"/>
    <hyperlink display="https://my.zakupivli.pro/remote/dispatcher/state_purchase_view/48246725" ref="B303" r:id="rId652"/>
    <hyperlink display="https://my.zakupivli.pro/remote/dispatcher/state_contracting_view/18862396" ref="D303" r:id="rId653"/>
    <hyperlink display="https://my.zakupivli.pro/remote/dispatcher/state_purchase_view/49010636" ref="B304" r:id="rId654"/>
    <hyperlink display="https://my.zakupivli.pro/remote/dispatcher/state_contracting_view/19183244" ref="D304" r:id="rId655"/>
    <hyperlink display="https://my.zakupivli.pro/remote/dispatcher/state_purchase_view/49296011" ref="B305" r:id="rId656"/>
    <hyperlink display="https://my.zakupivli.pro/remote/dispatcher/state_contracting_view/19305896" ref="D305" r:id="rId657"/>
    <hyperlink display="https://my.zakupivli.pro/remote/dispatcher/state_purchase_view/49316482" ref="B306" r:id="rId658"/>
    <hyperlink display="https://my.zakupivli.pro/remote/dispatcher/state_contracting_view/19314750" ref="D306" r:id="rId659"/>
    <hyperlink display="https://my.zakupivli.pro/remote/dispatcher/state_purchase_view/49649148" ref="B307" r:id="rId660"/>
    <hyperlink display="https://my.zakupivli.pro/remote/dispatcher/state_contracting_view/19457364" ref="D307" r:id="rId661"/>
    <hyperlink display="https://my.zakupivli.pro/remote/dispatcher/state_purchase_view/49704718" ref="B308" r:id="rId662"/>
    <hyperlink display="https://my.zakupivli.pro/remote/dispatcher/state_contracting_view/19481415" ref="D308" r:id="rId663"/>
    <hyperlink display="https://my.zakupivli.pro/remote/dispatcher/state_purchase_view/49064151" ref="B309" r:id="rId664"/>
    <hyperlink display="https://my.zakupivli.pro/remote/dispatcher/state_contracting_view/19206119" ref="D309" r:id="rId665"/>
    <hyperlink display="https://my.zakupivli.pro/remote/dispatcher/state_purchase_view/49647881" ref="B310" r:id="rId666"/>
    <hyperlink display="https://my.zakupivli.pro/remote/dispatcher/state_contracting_view/19456880" ref="D310" r:id="rId667"/>
    <hyperlink display="https://my.zakupivli.pro/remote/dispatcher/state_purchase_view/49646924" ref="B311" r:id="rId668"/>
    <hyperlink display="https://my.zakupivli.pro/remote/dispatcher/state_contracting_view/19456384" ref="D311" r:id="rId669"/>
    <hyperlink display="https://my.zakupivli.pro/remote/dispatcher/state_purchase_view/49933595" ref="B312" r:id="rId670"/>
    <hyperlink display="https://my.zakupivli.pro/remote/dispatcher/state_contracting_view/19579259" ref="D312" r:id="rId671"/>
    <hyperlink display="https://my.zakupivli.pro/remote/dispatcher/state_purchase_view/49934206" ref="B313" r:id="rId672"/>
    <hyperlink display="https://my.zakupivli.pro/remote/dispatcher/state_contracting_view/19579524" ref="D313" r:id="rId673"/>
    <hyperlink display="https://my.zakupivli.pro/remote/dispatcher/state_purchase_view/50109952" ref="B314" r:id="rId674"/>
    <hyperlink display="https://my.zakupivli.pro/remote/dispatcher/state_contracting_view/19656417" ref="D314" r:id="rId675"/>
    <hyperlink display="https://my.zakupivli.pro/remote/dispatcher/state_purchase_view/48848296" ref="B315" r:id="rId676"/>
    <hyperlink display="https://my.zakupivli.pro/remote/dispatcher/state_contracting_view/19113915" ref="D315" r:id="rId677"/>
    <hyperlink display="https://my.zakupivli.pro/remote/dispatcher/state_purchase_view/48396753" ref="B316" r:id="rId678"/>
    <hyperlink display="https://my.zakupivli.pro/remote/dispatcher/state_contracting_view/18921504" ref="D316" r:id="rId679"/>
    <hyperlink display="https://my.zakupivli.pro/remote/dispatcher/state_purchase_view/48417645" ref="B317" r:id="rId680"/>
    <hyperlink display="https://my.zakupivli.pro/remote/dispatcher/state_contracting_view/18929667" ref="D317" r:id="rId681"/>
    <hyperlink display="https://my.zakupivli.pro/remote/dispatcher/state_purchase_view/48316785" ref="B318" r:id="rId682"/>
    <hyperlink display="https://my.zakupivli.pro/remote/dispatcher/state_contracting_view/18889403" ref="D318" r:id="rId683"/>
    <hyperlink display="https://my.zakupivli.pro/remote/dispatcher/state_purchase_view/48321133" ref="B319" r:id="rId684"/>
    <hyperlink display="https://my.zakupivli.pro/remote/dispatcher/state_contracting_view/18891217" ref="D319" r:id="rId685"/>
    <hyperlink display="https://my.zakupivli.pro/remote/dispatcher/state_purchase_view/48700117" ref="B320" r:id="rId686"/>
    <hyperlink display="https://my.zakupivli.pro/remote/dispatcher/state_contracting_view/19049553" ref="D320" r:id="rId687"/>
    <hyperlink display="https://my.zakupivli.pro/remote/dispatcher/state_purchase_view/48463722" ref="B321" r:id="rId688"/>
    <hyperlink display="https://my.zakupivli.pro/remote/dispatcher/state_contracting_view/18949094" ref="D321" r:id="rId689"/>
    <hyperlink display="https://my.zakupivli.pro/remote/dispatcher/state_purchase_view/50910091" ref="B322" r:id="rId690"/>
    <hyperlink display="https://my.zakupivli.pro/remote/dispatcher/state_contracting_view/20260973" ref="D322" r:id="rId691"/>
    <hyperlink display="https://my.zakupivli.pro/remote/dispatcher/state_purchase_view/50839464" ref="B323" r:id="rId692"/>
    <hyperlink display="https://my.zakupivli.pro/remote/dispatcher/state_contracting_view/20230477" ref="D323" r:id="rId693"/>
    <hyperlink display="https://my.zakupivli.pro/remote/dispatcher/state_purchase_view/51270343" ref="B324" r:id="rId694"/>
    <hyperlink display="https://my.zakupivli.pro/remote/dispatcher/state_contracting_view/20573363" ref="D324" r:id="rId695"/>
    <hyperlink display="https://my.zakupivli.pro/remote/dispatcher/state_purchase_view/51552245" ref="B325" r:id="rId696"/>
    <hyperlink display="https://my.zakupivli.pro/remote/dispatcher/state_contracting_view/20695923" ref="D325" r:id="rId697"/>
    <hyperlink display="https://my.zakupivli.pro/remote/dispatcher/state_purchase_view/51791942" ref="B326" r:id="rId698"/>
    <hyperlink display="https://my.zakupivli.pro/remote/dispatcher/state_contracting_view/20799681" ref="D326" r:id="rId699"/>
    <hyperlink display="https://my.zakupivli.pro/remote/dispatcher/state_purchase_view/49427655" ref="B327" r:id="rId700"/>
    <hyperlink display="https://my.zakupivli.pro/remote/dispatcher/state_contracting_view/19362099" ref="D327" r:id="rId701"/>
    <hyperlink display="https://my.zakupivli.pro/remote/dispatcher/state_purchase_view/48834273" ref="B328" r:id="rId702"/>
    <hyperlink display="https://my.zakupivli.pro/remote/dispatcher/state_contracting_view/19107686" ref="D328" r:id="rId703"/>
    <hyperlink display="https://my.zakupivli.pro/remote/dispatcher/state_purchase_view/49024779" ref="B329" r:id="rId704"/>
    <hyperlink display="https://my.zakupivli.pro/remote/dispatcher/state_contracting_view/19189335" ref="D329" r:id="rId705"/>
    <hyperlink display="https://my.zakupivli.pro/remote/dispatcher/state_purchase_view/52894521" ref="B330" r:id="rId706"/>
    <hyperlink display="https://my.zakupivli.pro/remote/dispatcher/state_contracting_view/21279984" ref="D330" r:id="rId707"/>
    <hyperlink display="https://my.zakupivli.pro/remote/dispatcher/state_purchase_view/52694451" ref="B331" r:id="rId708"/>
    <hyperlink display="https://my.zakupivli.pro/remote/dispatcher/state_contracting_view/21192730" ref="D331" r:id="rId709"/>
    <hyperlink display="https://my.zakupivli.pro/remote/dispatcher/state_purchase_view/52889674" ref="B332" r:id="rId710"/>
    <hyperlink display="https://my.zakupivli.pro/remote/dispatcher/state_contracting_view/21277803" ref="D332" r:id="rId711"/>
    <hyperlink display="https://my.zakupivli.pro/remote/dispatcher/state_purchase_view/51381336" ref="B333" r:id="rId712"/>
    <hyperlink display="https://my.zakupivli.pro/remote/dispatcher/state_purchase_lot_view/1300664" ref="C333" r:id="rId713"/>
    <hyperlink display="https://my.zakupivli.pro/remote/dispatcher/state_contracting_view/20734298" ref="D333" r:id="rId714"/>
    <hyperlink display="https://my.zakupivli.pro/remote/dispatcher/state_purchase_view/54043339" ref="B334" r:id="rId715"/>
    <hyperlink display="https://my.zakupivli.pro/remote/dispatcher/state_contracting_view/21771564" ref="D334" r:id="rId716"/>
    <hyperlink display="https://my.zakupivli.pro/remote/dispatcher/state_purchase_view/54458955" ref="B335" r:id="rId717"/>
    <hyperlink display="https://my.zakupivli.pro/remote/dispatcher/state_contracting_view/21951810" ref="D335" r:id="rId718"/>
    <hyperlink display="https://my.zakupivli.pro/remote/dispatcher/state_purchase_view/55021684" ref="B336" r:id="rId719"/>
    <hyperlink display="https://my.zakupivli.pro/remote/dispatcher/state_contracting_view/22192584" ref="D336" r:id="rId720"/>
    <hyperlink display="https://my.zakupivli.pro/remote/dispatcher/state_purchase_view/54809806" ref="B337" r:id="rId721"/>
    <hyperlink display="https://my.zakupivli.pro/remote/dispatcher/state_contracting_view/22101764" ref="D337" r:id="rId722"/>
    <hyperlink display="https://my.zakupivli.pro/remote/dispatcher/state_purchase_view/54902250" ref="B338" r:id="rId723"/>
    <hyperlink display="https://my.zakupivli.pro/remote/dispatcher/state_contracting_view/22141487" ref="D338" r:id="rId724"/>
    <hyperlink display="https://my.zakupivli.pro/remote/dispatcher/state_purchase_view/56146328" ref="B339" r:id="rId725"/>
    <hyperlink display="https://my.zakupivli.pro/remote/dispatcher/state_contracting_view/22681800" ref="D339" r:id="rId726"/>
    <hyperlink display="https://my.zakupivli.pro/remote/dispatcher/state_purchase_view/53576773" ref="B340" r:id="rId727"/>
    <hyperlink display="https://my.zakupivli.pro/remote/dispatcher/state_purchase_lot_view/1402714" ref="C340" r:id="rId728"/>
    <hyperlink display="https://my.zakupivli.pro/remote/dispatcher/state_contracting_view/21672775" ref="D340" r:id="rId729"/>
    <hyperlink display="https://my.zakupivli.pro/remote/dispatcher/state_purchase_view/47800252" ref="B341" r:id="rId730"/>
    <hyperlink display="https://my.zakupivli.pro/remote/dispatcher/state_purchase_lot_view/1154475" ref="C341" r:id="rId731"/>
    <hyperlink display="https://my.zakupivli.pro/remote/dispatcher/state_contracting_view/18941080" ref="D341" r:id="rId732"/>
    <hyperlink display="https://my.zakupivli.pro/remote/dispatcher/state_purchase_view/53846514" ref="B342" r:id="rId733"/>
    <hyperlink display="https://my.zakupivli.pro/remote/dispatcher/state_contracting_view/21686379" ref="D342" r:id="rId734"/>
    <hyperlink display="https://my.zakupivli.pro/remote/dispatcher/state_purchase_view/51591647" ref="B343" r:id="rId735"/>
    <hyperlink display="https://my.zakupivli.pro/remote/dispatcher/state_contracting_view/20712834" ref="D343" r:id="rId736"/>
    <hyperlink display="https://my.zakupivli.pro/remote/dispatcher/state_purchase_view/48495716" ref="B344" r:id="rId737"/>
    <hyperlink display="https://my.zakupivli.pro/remote/dispatcher/state_contracting_view/18962780" ref="D344" r:id="rId738"/>
    <hyperlink display="https://my.zakupivli.pro/remote/dispatcher/state_purchase_view/48197851" ref="B345" r:id="rId739"/>
    <hyperlink display="https://my.zakupivli.pro/remote/dispatcher/state_contracting_view/18842504" ref="D345" r:id="rId740"/>
    <hyperlink display="https://my.zakupivli.pro/remote/dispatcher/state_purchase_view/48217774" ref="B346" r:id="rId741"/>
    <hyperlink display="https://my.zakupivli.pro/remote/dispatcher/state_contracting_view/18851006" ref="D346" r:id="rId742"/>
    <hyperlink display="https://my.zakupivli.pro/remote/dispatcher/state_purchase_view/48341981" ref="B347" r:id="rId743"/>
    <hyperlink display="https://my.zakupivli.pro/remote/dispatcher/state_contracting_view/18899485" ref="D347" r:id="rId744"/>
    <hyperlink display="https://my.zakupivli.pro/remote/dispatcher/state_purchase_view/48582359" ref="B348" r:id="rId745"/>
    <hyperlink display="https://my.zakupivli.pro/remote/dispatcher/state_contracting_view/18999423" ref="D348" r:id="rId746"/>
    <hyperlink display="https://my.zakupivli.pro/remote/dispatcher/state_purchase_view/48889709" ref="B349" r:id="rId747"/>
    <hyperlink display="https://my.zakupivli.pro/remote/dispatcher/state_contracting_view/19131418" ref="D349" r:id="rId748"/>
    <hyperlink display="https://my.zakupivli.pro/remote/dispatcher/state_purchase_view/49228700" ref="B350" r:id="rId749"/>
    <hyperlink display="https://my.zakupivli.pro/remote/dispatcher/state_contracting_view/19276738" ref="D350" r:id="rId750"/>
    <hyperlink display="https://my.zakupivli.pro/remote/dispatcher/state_purchase_view/49230845" ref="B351" r:id="rId751"/>
    <hyperlink display="https://my.zakupivli.pro/remote/dispatcher/state_contracting_view/19277458" ref="D351" r:id="rId752"/>
    <hyperlink display="https://my.zakupivli.pro/remote/dispatcher/state_purchase_view/49399890" ref="B352" r:id="rId753"/>
    <hyperlink display="https://my.zakupivli.pro/remote/dispatcher/state_contracting_view/19350034" ref="D352" r:id="rId754"/>
    <hyperlink display="https://my.zakupivli.pro/remote/dispatcher/state_purchase_view/49424541" ref="B353" r:id="rId755"/>
    <hyperlink display="https://my.zakupivli.pro/remote/dispatcher/state_contracting_view/19360632" ref="D353" r:id="rId756"/>
    <hyperlink display="https://my.zakupivli.pro/remote/dispatcher/state_purchase_view/49273195" ref="B354" r:id="rId757"/>
    <hyperlink display="https://my.zakupivli.pro/remote/dispatcher/state_contracting_view/19296030" ref="D354" r:id="rId758"/>
    <hyperlink display="https://my.zakupivli.pro/remote/dispatcher/state_purchase_view/49349341" ref="B355" r:id="rId759"/>
    <hyperlink display="https://my.zakupivli.pro/remote/dispatcher/state_contracting_view/19328775" ref="D355" r:id="rId760"/>
    <hyperlink display="https://my.zakupivli.pro/remote/dispatcher/state_purchase_view/50225081" ref="B356" r:id="rId761"/>
    <hyperlink display="https://my.zakupivli.pro/remote/dispatcher/state_contracting_view/19706097" ref="D356" r:id="rId762"/>
    <hyperlink display="https://my.zakupivli.pro/remote/dispatcher/state_purchase_view/49009442" ref="B357" r:id="rId763"/>
    <hyperlink display="https://my.zakupivli.pro/remote/dispatcher/state_contracting_view/19188213" ref="D357" r:id="rId764"/>
    <hyperlink display="https://my.zakupivli.pro/remote/dispatcher/state_purchase_view/51067034" ref="B358" r:id="rId765"/>
    <hyperlink display="https://my.zakupivli.pro/remote/dispatcher/state_contracting_view/20328166" ref="D358" r:id="rId766"/>
    <hyperlink display="https://my.zakupivli.pro/remote/dispatcher/state_purchase_view/52894324" ref="B359" r:id="rId767"/>
    <hyperlink display="https://my.zakupivli.pro/remote/dispatcher/state_contracting_view/21279892" ref="D359" r:id="rId768"/>
    <hyperlink display="https://my.zakupivli.pro/remote/dispatcher/state_purchase_view/52855211" ref="B360" r:id="rId769"/>
    <hyperlink display="https://my.zakupivli.pro/remote/dispatcher/state_contracting_view/21262712" ref="D360" r:id="rId770"/>
    <hyperlink display="https://my.zakupivli.pro/remote/dispatcher/state_purchase_view/54344398" ref="B361" r:id="rId771"/>
    <hyperlink display="https://my.zakupivli.pro/remote/dispatcher/state_contracting_view/21901905" ref="D361" r:id="rId772"/>
    <hyperlink display="https://my.zakupivli.pro/remote/dispatcher/state_purchase_view/52583340" ref="B362" r:id="rId773"/>
    <hyperlink display="https://my.zakupivli.pro/remote/dispatcher/state_purchase_lot_view/1356863" ref="C362" r:id="rId774"/>
    <hyperlink display="https://my.zakupivli.pro/remote/dispatcher/state_contracting_view/21264174" ref="D362" r:id="rId775"/>
    <hyperlink display="https://my.zakupivli.pro/remote/dispatcher/state_purchase_view/54342818" ref="B363" r:id="rId776"/>
    <hyperlink display="https://my.zakupivli.pro/remote/dispatcher/state_contracting_view/21901280" ref="D363" r:id="rId777"/>
    <hyperlink display="https://my.zakupivli.pro/remote/dispatcher/state_purchase_view/51169802" ref="B364" r:id="rId778"/>
    <hyperlink display="https://my.zakupivli.pro/remote/dispatcher/state_contracting_view/20529400" ref="D364" r:id="rId779"/>
    <hyperlink display="https://my.zakupivli.pro/remote/dispatcher/state_purchase_view/50901220" ref="B365" r:id="rId780"/>
    <hyperlink display="https://my.zakupivli.pro/remote/dispatcher/state_contracting_view/20257202" ref="D365" r:id="rId781"/>
    <hyperlink display="https://my.zakupivli.pro/remote/dispatcher/state_purchase_view/50899119" ref="B366" r:id="rId782"/>
    <hyperlink display="https://my.zakupivli.pro/remote/dispatcher/state_contracting_view/20256263" ref="D366" r:id="rId783"/>
    <hyperlink display="https://my.zakupivli.pro/remote/dispatcher/state_purchase_view/51337251" ref="B367" r:id="rId784"/>
    <hyperlink display="https://my.zakupivli.pro/remote/dispatcher/state_contracting_view/20602999" ref="D367" r:id="rId785"/>
    <hyperlink display="https://my.zakupivli.pro/remote/dispatcher/state_purchase_view/50640083" ref="B368" r:id="rId786"/>
    <hyperlink display="https://my.zakupivli.pro/remote/dispatcher/state_contracting_view/19890880" ref="D368" r:id="rId787"/>
    <hyperlink display="https://my.zakupivli.pro/remote/dispatcher/state_purchase_view/50323874" ref="B369" r:id="rId788"/>
    <hyperlink display="https://my.zakupivli.pro/remote/dispatcher/state_contracting_view/19749433" ref="D369" r:id="rId789"/>
    <hyperlink display="https://my.zakupivli.pro/remote/dispatcher/state_purchase_view/53607493" ref="B370" r:id="rId790"/>
    <hyperlink display="https://my.zakupivli.pro/remote/dispatcher/state_contracting_view/21583732" ref="D370" r:id="rId791"/>
    <hyperlink display="https://my.zakupivli.pro/remote/dispatcher/state_purchase_view/52246584" ref="B371" r:id="rId792"/>
    <hyperlink display="https://my.zakupivli.pro/remote/dispatcher/state_purchase_lot_view/1340430" ref="C371" r:id="rId793"/>
    <hyperlink display="https://my.zakupivli.pro/remote/dispatcher/state_contracting_view/21126482" ref="D371" r:id="rId794"/>
    <hyperlink display="https://my.zakupivli.pro/remote/dispatcher/state_purchase_view/53057531" ref="B372" r:id="rId795"/>
    <hyperlink display="https://my.zakupivli.pro/remote/dispatcher/state_contracting_view/21350813" ref="D372" r:id="rId796"/>
    <hyperlink display="https://my.zakupivli.pro/remote/dispatcher/state_purchase_view/52841504" ref="B373" r:id="rId797"/>
    <hyperlink display="https://my.zakupivli.pro/remote/dispatcher/state_contracting_view/21256377" ref="D373" r:id="rId798"/>
    <hyperlink display="https://my.zakupivli.pro/remote/dispatcher/state_purchase_view/52507484" ref="B374" r:id="rId799"/>
    <hyperlink display="https://my.zakupivli.pro/remote/dispatcher/state_purchase_lot_view/1353657" ref="C374" r:id="rId800"/>
    <hyperlink display="https://my.zakupivli.pro/remote/dispatcher/state_contracting_view/21180964" ref="D374" r:id="rId801"/>
    <hyperlink display="https://my.zakupivli.pro/remote/dispatcher/state_purchase_view/52862989" ref="B375" r:id="rId802"/>
    <hyperlink display="https://my.zakupivli.pro/remote/dispatcher/state_contracting_view/21266221" ref="D375" r:id="rId803"/>
    <hyperlink display="https://my.zakupivli.pro/remote/dispatcher/state_purchase_view/52462255" ref="B376" r:id="rId804"/>
    <hyperlink display="https://my.zakupivli.pro/remote/dispatcher/state_contracting_view/21092351" ref="D376" r:id="rId805"/>
    <hyperlink display="https://my.zakupivli.pro/remote/dispatcher/state_purchase_view/50902984" ref="B377" r:id="rId806"/>
    <hyperlink display="https://my.zakupivli.pro/remote/dispatcher/state_purchase_lot_view/1279748" ref="C377" r:id="rId807"/>
    <hyperlink display="https://my.zakupivli.pro/remote/dispatcher/state_contracting_view/20579216" ref="D377" r:id="rId808"/>
    <hyperlink display="https://my.zakupivli.pro/remote/dispatcher/state_purchase_view/53480780" ref="B378" r:id="rId809"/>
    <hyperlink display="https://my.zakupivli.pro/remote/dispatcher/state_purchase_lot_view/1398569" ref="C378" r:id="rId810"/>
    <hyperlink display="https://my.zakupivli.pro/remote/dispatcher/state_contracting_view/21640672" ref="D378" r:id="rId811"/>
    <hyperlink display="https://my.zakupivli.pro/remote/dispatcher/state_purchase_view/54366264" ref="B379" r:id="rId812"/>
    <hyperlink display="https://my.zakupivli.pro/remote/dispatcher/state_purchase_lot_view/1438319" ref="C379" r:id="rId813"/>
    <hyperlink display="https://my.zakupivli.pro/remote/dispatcher/state_contracting_view/22004386" ref="D379" r:id="rId814"/>
    <hyperlink display="https://my.zakupivli.pro/remote/dispatcher/state_purchase_view/54313026" ref="B380" r:id="rId815"/>
    <hyperlink display="https://my.zakupivli.pro/remote/dispatcher/state_purchase_lot_view/1436115" ref="C380" r:id="rId816"/>
    <hyperlink display="https://my.zakupivli.pro/remote/dispatcher/state_contracting_view/22395083" ref="D380" r:id="rId817"/>
    <hyperlink display="https://my.zakupivli.pro/remote/dispatcher/state_purchase_view/48411794" ref="B381" r:id="rId818"/>
    <hyperlink display="https://my.zakupivli.pro/remote/dispatcher/state_purchase_lot_view/1180059" ref="C381" r:id="rId819"/>
    <hyperlink display="https://my.zakupivli.pro/remote/dispatcher/state_contracting_view/19195939" ref="D381" r:id="rId820"/>
    <hyperlink display="https://my.zakupivli.pro/remote/dispatcher/state_purchase_view/50333914" ref="B382" r:id="rId821"/>
    <hyperlink display="https://my.zakupivli.pro/remote/dispatcher/state_contracting_view/19753907" ref="D382" r:id="rId822"/>
    <hyperlink display="https://my.zakupivli.pro/remote/dispatcher/state_purchase_view/53048027" ref="B383" r:id="rId823"/>
    <hyperlink display="https://my.zakupivli.pro/remote/dispatcher/state_contracting_view/21346820" ref="D383" r:id="rId824"/>
    <hyperlink display="https://my.zakupivli.pro/remote/dispatcher/state_purchase_view/53281530" ref="B384" r:id="rId825"/>
    <hyperlink display="https://my.zakupivli.pro/remote/dispatcher/state_purchase_lot_view/1388959" ref="C384" r:id="rId826"/>
    <hyperlink display="https://my.zakupivli.pro/remote/dispatcher/state_contracting_view/21522977" ref="D384" r:id="rId827"/>
    <hyperlink display="https://my.zakupivli.pro/remote/dispatcher/state_purchase_view/50512862" ref="B385" r:id="rId828"/>
    <hyperlink display="https://my.zakupivli.pro/remote/dispatcher/state_contracting_view/19834109" ref="D385" r:id="rId829"/>
    <hyperlink display="https://my.zakupivli.pro/remote/dispatcher/state_purchase_view/51170304" ref="B386" r:id="rId830"/>
    <hyperlink display="https://my.zakupivli.pro/remote/dispatcher/state_contracting_view/20529625" ref="D386" r:id="rId831"/>
    <hyperlink display="https://my.zakupivli.pro/remote/dispatcher/state_purchase_view/48490384" ref="B387" r:id="rId832"/>
    <hyperlink display="https://my.zakupivli.pro/remote/dispatcher/state_contracting_view/18960341" ref="D387" r:id="rId833"/>
    <hyperlink display="https://my.zakupivli.pro/remote/dispatcher/state_purchase_view/49791642" ref="B388" r:id="rId834"/>
    <hyperlink display="https://my.zakupivli.pro/remote/dispatcher/state_contracting_view/19518253" ref="D388" r:id="rId835"/>
    <hyperlink display="https://my.zakupivli.pro/remote/dispatcher/state_purchase_view/48968712" ref="B389" r:id="rId836"/>
    <hyperlink display="https://my.zakupivli.pro/remote/dispatcher/state_contracting_view/19165622" ref="D389" r:id="rId837"/>
    <hyperlink display="https://my.zakupivli.pro/remote/dispatcher/state_purchase_view/48939182" ref="B390" r:id="rId838"/>
    <hyperlink display="https://my.zakupivli.pro/remote/dispatcher/state_contracting_view/19152871" ref="D390" r:id="rId839"/>
    <hyperlink display="https://my.zakupivli.pro/remote/dispatcher/state_purchase_view/48921040" ref="B391" r:id="rId840"/>
    <hyperlink display="https://my.zakupivli.pro/remote/dispatcher/state_contracting_view/19145254" ref="D391" r:id="rId841"/>
  </hyperlinks>
  <pageMargins left="0.75" right="0.75" top="1" bottom="1" header="0.5" footer="0.5"/>
</worksheet>
</file>

<file path=docProps/app.xml><?xml version="1.0" encoding="utf-8"?>
<ns0:Properties xmlns:ns0="http://schemas.openxmlformats.org/officeDocument/2006/extended-properties">
  <ns0:Application>Microsoft Excel</ns0:Application>
  <ns0:DocSecurity>0</ns0:DocSecurity>
  <ns0:ScaleCrop>false</ns0:ScaleCrop>
  <ns0:Company/>
  <ns0:LinksUpToDate>false</ns0:LinksUpToDate>
  <ns0:SharedDoc>false</ns0:SharedDoc>
  <ns0:HyperlinksChanged>false</ns0:HyperlinksChanged>
  <ns0:AppVersion>12.0000</ns0:AppVersion>
  <ns0:HeadingPairs>
    <vt:vector xmlns:vt="http://schemas.openxmlformats.org/officeDocument/2006/docPropsVTypes" size="2" baseType="variant">
      <vt:variant>
        <vt:lpstr>Worksheets</vt:lpstr>
      </vt:variant>
      <vt:variant>
        <vt:i4>1</vt:i4>
      </vt:variant>
    </vt:vector>
  </ns0:HeadingPairs>
  <ns0:TitlesOfParts>
    <vt:vector xmlns:vt="http://schemas.openxmlformats.org/officeDocument/2006/docPropsVTypes" size="1" baseType="lpstr">
      <vt:lpstr>Sheet</vt:lpstr>
    </vt:vector>
  </ns0:TitlesOfParts>
</ns0:Properties>
</file>

<file path=docProps/core.xml><?xml version="1.0" encoding="utf-8"?>
<cp:coreProperties xmlns:cp="http://schemas.openxmlformats.org/package/2006/metadata/core-properties">
  <dc:creator xmlns:dc="http://purl.org/dc/elements/1.1/">Unknown</dc:creator>
  <cp:lastModifiedBy>Unknown</cp:lastModifiedBy>
  <dcterms:created xmlns:dcterms="http://purl.org/dc/terms/" xmlns:xsi="http://www.w3.org/2001/XMLSchema-instance" xsi:type="dcterms:W3CDTF">2025-02-27T08:39:01Z</dcterms:created>
  <dcterms:modified xmlns:dcterms="http://purl.org/dc/terms/" xmlns:xsi="http://www.w3.org/2001/XMLSchema-instance" xsi:type="dcterms:W3CDTF">2025-02-27T08:39:01Z</dcterms:modified>
  <dc:title xmlns:dc="http://purl.org/dc/elements/1.1/">Untitled</dc:title>
  <dc:description xmlns:dc="http://purl.org/dc/elements/1.1/"/>
  <dc:subject xmlns:dc="http://purl.org/dc/elements/1.1/"/>
  <cp:keywords/>
  <cp:category/>
</cp:coreProperties>
</file>