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90" yWindow="600" windowWidth="19815" windowHeight="8130"/>
  </bookViews>
  <sheets>
    <sheet name="Sheet" sheetId="1" r:id="rId1"/>
  </sheets>
  <definedNames>
    <definedName name="_xlnm._FilterDatabase" localSheetId="0" hidden="1">Sheet!$A$4:$N$262</definedName>
  </definedNames>
  <calcPr calcId="145621"/>
</workbook>
</file>

<file path=xl/calcChain.xml><?xml version="1.0" encoding="utf-8"?>
<calcChain xmlns="http://schemas.openxmlformats.org/spreadsheetml/2006/main">
  <c r="C262" i="1" l="1"/>
  <c r="B262" i="1"/>
  <c r="C261" i="1"/>
  <c r="B261" i="1"/>
  <c r="C260" i="1"/>
  <c r="B260" i="1"/>
  <c r="C259" i="1"/>
  <c r="B259" i="1"/>
  <c r="C258" i="1"/>
  <c r="B258" i="1"/>
  <c r="C257" i="1"/>
  <c r="B257" i="1"/>
  <c r="C256" i="1"/>
  <c r="B256" i="1"/>
  <c r="C255" i="1"/>
  <c r="B255" i="1"/>
  <c r="C254" i="1"/>
  <c r="B254" i="1"/>
  <c r="C253" i="1"/>
  <c r="B253" i="1"/>
  <c r="C252" i="1"/>
  <c r="B252" i="1"/>
  <c r="C251" i="1"/>
  <c r="B251" i="1"/>
  <c r="C250" i="1"/>
  <c r="B250" i="1"/>
  <c r="C249" i="1"/>
  <c r="B249" i="1"/>
  <c r="C248" i="1"/>
  <c r="B248" i="1"/>
  <c r="C247" i="1"/>
  <c r="B247" i="1"/>
  <c r="C246" i="1"/>
  <c r="B246" i="1"/>
  <c r="C245" i="1"/>
  <c r="B245" i="1"/>
  <c r="C244" i="1"/>
  <c r="B244" i="1"/>
  <c r="C243" i="1"/>
  <c r="B243" i="1"/>
  <c r="C242" i="1"/>
  <c r="B242" i="1"/>
  <c r="C241" i="1"/>
  <c r="B241" i="1"/>
  <c r="C240" i="1"/>
  <c r="B240" i="1"/>
  <c r="C239" i="1"/>
  <c r="B239" i="1"/>
  <c r="C238" i="1"/>
  <c r="B238" i="1"/>
  <c r="C237" i="1"/>
  <c r="B237" i="1"/>
  <c r="C236" i="1"/>
  <c r="B236" i="1"/>
  <c r="C235" i="1"/>
  <c r="B235" i="1"/>
  <c r="C234" i="1"/>
  <c r="B234" i="1"/>
  <c r="C233" i="1"/>
  <c r="B233" i="1"/>
  <c r="C232" i="1"/>
  <c r="B232" i="1"/>
  <c r="C231" i="1"/>
  <c r="B231" i="1"/>
  <c r="C230" i="1"/>
  <c r="B230" i="1"/>
  <c r="C229" i="1"/>
  <c r="B229" i="1"/>
  <c r="C228" i="1"/>
  <c r="B228" i="1"/>
  <c r="C227" i="1"/>
  <c r="B227" i="1"/>
  <c r="C226" i="1"/>
  <c r="B226" i="1"/>
  <c r="C225" i="1"/>
  <c r="B225" i="1"/>
  <c r="C224" i="1"/>
  <c r="B224" i="1"/>
  <c r="C223" i="1"/>
  <c r="B223" i="1"/>
  <c r="C222" i="1"/>
  <c r="B222" i="1"/>
  <c r="C221" i="1"/>
  <c r="B221" i="1"/>
  <c r="C220" i="1"/>
  <c r="B220" i="1"/>
  <c r="C219" i="1"/>
  <c r="B219" i="1"/>
  <c r="C218" i="1"/>
  <c r="B218" i="1"/>
  <c r="C217" i="1"/>
  <c r="B217" i="1"/>
  <c r="C216" i="1"/>
  <c r="B216" i="1"/>
  <c r="C215" i="1"/>
  <c r="B215" i="1"/>
  <c r="C214" i="1"/>
  <c r="B214" i="1"/>
  <c r="C213" i="1"/>
  <c r="B213" i="1"/>
  <c r="C212" i="1"/>
  <c r="B212" i="1"/>
  <c r="C211" i="1"/>
  <c r="B211" i="1"/>
  <c r="C210" i="1"/>
  <c r="B210" i="1"/>
  <c r="C209" i="1"/>
  <c r="B209" i="1"/>
  <c r="C208" i="1"/>
  <c r="B208" i="1"/>
  <c r="C207" i="1"/>
  <c r="B207" i="1"/>
  <c r="C206" i="1"/>
  <c r="B206" i="1"/>
  <c r="C205" i="1"/>
  <c r="B205" i="1"/>
  <c r="C204" i="1"/>
  <c r="B204" i="1"/>
  <c r="C203" i="1"/>
  <c r="B203" i="1"/>
  <c r="C202" i="1"/>
  <c r="B202" i="1"/>
  <c r="C201" i="1"/>
  <c r="B201" i="1"/>
  <c r="C200" i="1"/>
  <c r="B200" i="1"/>
  <c r="C199" i="1"/>
  <c r="B199" i="1"/>
  <c r="C198" i="1"/>
  <c r="B198" i="1"/>
  <c r="C197" i="1"/>
  <c r="B197" i="1"/>
  <c r="C196" i="1"/>
  <c r="B196" i="1"/>
  <c r="C195" i="1"/>
  <c r="B195" i="1"/>
  <c r="C194" i="1"/>
  <c r="B194" i="1"/>
  <c r="C193" i="1"/>
  <c r="B193" i="1"/>
  <c r="C192" i="1"/>
  <c r="B192" i="1"/>
  <c r="C191" i="1"/>
  <c r="B191" i="1"/>
  <c r="C190" i="1"/>
  <c r="B190" i="1"/>
  <c r="C189" i="1"/>
  <c r="B189" i="1"/>
  <c r="C188" i="1"/>
  <c r="B188" i="1"/>
  <c r="C187" i="1"/>
  <c r="B187" i="1"/>
  <c r="C186" i="1"/>
  <c r="B186" i="1"/>
  <c r="C185" i="1"/>
  <c r="B185" i="1"/>
  <c r="C184" i="1"/>
  <c r="B184" i="1"/>
  <c r="C183" i="1"/>
  <c r="B183" i="1"/>
  <c r="C182" i="1"/>
  <c r="B182" i="1"/>
  <c r="C181" i="1"/>
  <c r="B181" i="1"/>
  <c r="C180" i="1"/>
  <c r="B180" i="1"/>
  <c r="C179" i="1"/>
  <c r="B179" i="1"/>
  <c r="C178" i="1"/>
  <c r="B178" i="1"/>
  <c r="C177" i="1"/>
  <c r="B177" i="1"/>
  <c r="C176" i="1"/>
  <c r="B176" i="1"/>
  <c r="C175" i="1"/>
  <c r="B175" i="1"/>
  <c r="C174" i="1"/>
  <c r="B174" i="1"/>
  <c r="C173" i="1"/>
  <c r="B173" i="1"/>
  <c r="C172" i="1"/>
  <c r="B172" i="1"/>
  <c r="C171" i="1"/>
  <c r="B171" i="1"/>
  <c r="C170" i="1"/>
  <c r="B170" i="1"/>
  <c r="C169" i="1"/>
  <c r="B169" i="1"/>
  <c r="C168" i="1"/>
  <c r="B168" i="1"/>
  <c r="C167" i="1"/>
  <c r="B167" i="1"/>
  <c r="C166" i="1"/>
  <c r="B166" i="1"/>
  <c r="C165" i="1"/>
  <c r="B165" i="1"/>
  <c r="C164" i="1"/>
  <c r="B164" i="1"/>
  <c r="C163" i="1"/>
  <c r="B163" i="1"/>
  <c r="C162" i="1"/>
  <c r="B162" i="1"/>
  <c r="C161" i="1"/>
  <c r="B161" i="1"/>
  <c r="C160" i="1"/>
  <c r="B160" i="1"/>
  <c r="C159" i="1"/>
  <c r="B159" i="1"/>
  <c r="C158" i="1"/>
  <c r="B158" i="1"/>
  <c r="C157" i="1"/>
  <c r="B157" i="1"/>
  <c r="C156" i="1"/>
  <c r="B156" i="1"/>
  <c r="C155" i="1"/>
  <c r="B155" i="1"/>
  <c r="C154" i="1"/>
  <c r="B154" i="1"/>
  <c r="C153" i="1"/>
  <c r="B153" i="1"/>
  <c r="C152" i="1"/>
  <c r="B152" i="1"/>
  <c r="C151" i="1"/>
  <c r="B151" i="1"/>
  <c r="C150" i="1"/>
  <c r="B150" i="1"/>
  <c r="C149" i="1"/>
  <c r="B149" i="1"/>
  <c r="C148" i="1"/>
  <c r="B148" i="1"/>
  <c r="C147" i="1"/>
  <c r="B147" i="1"/>
  <c r="C146" i="1"/>
  <c r="B146" i="1"/>
  <c r="C145" i="1"/>
  <c r="B145" i="1"/>
  <c r="C144" i="1"/>
  <c r="B144" i="1"/>
  <c r="C143" i="1"/>
  <c r="B143" i="1"/>
  <c r="C142" i="1"/>
  <c r="B142" i="1"/>
  <c r="C141" i="1"/>
  <c r="B141" i="1"/>
  <c r="C140" i="1"/>
  <c r="B140" i="1"/>
  <c r="C139" i="1"/>
  <c r="B139" i="1"/>
  <c r="C138" i="1"/>
  <c r="B138" i="1"/>
  <c r="C137" i="1"/>
  <c r="B137" i="1"/>
  <c r="C136" i="1"/>
  <c r="B136" i="1"/>
  <c r="C135" i="1"/>
  <c r="B135" i="1"/>
  <c r="C134" i="1"/>
  <c r="B134" i="1"/>
  <c r="C133" i="1"/>
  <c r="B133" i="1"/>
  <c r="C132" i="1"/>
  <c r="B132" i="1"/>
  <c r="C131" i="1"/>
  <c r="B131" i="1"/>
  <c r="C130" i="1"/>
  <c r="B130" i="1"/>
  <c r="C129" i="1"/>
  <c r="B129" i="1"/>
  <c r="C128" i="1"/>
  <c r="B128" i="1"/>
  <c r="C127" i="1"/>
  <c r="B127" i="1"/>
  <c r="C126" i="1"/>
  <c r="B126" i="1"/>
  <c r="C125" i="1"/>
  <c r="B125" i="1"/>
  <c r="C124" i="1"/>
  <c r="B124" i="1"/>
  <c r="C123" i="1"/>
  <c r="B123" i="1"/>
  <c r="C122" i="1"/>
  <c r="B122" i="1"/>
  <c r="C121" i="1"/>
  <c r="B121" i="1"/>
  <c r="C120" i="1"/>
  <c r="B120" i="1"/>
  <c r="C119" i="1"/>
  <c r="B119" i="1"/>
  <c r="C118" i="1"/>
  <c r="B118" i="1"/>
  <c r="C117" i="1"/>
  <c r="B117" i="1"/>
  <c r="C116" i="1"/>
  <c r="B116" i="1"/>
  <c r="C115" i="1"/>
  <c r="B115" i="1"/>
  <c r="C114" i="1"/>
  <c r="B114" i="1"/>
  <c r="C113" i="1"/>
  <c r="B113" i="1"/>
  <c r="C112" i="1"/>
  <c r="B112" i="1"/>
  <c r="C111" i="1"/>
  <c r="B111" i="1"/>
  <c r="C110" i="1"/>
  <c r="B110" i="1"/>
  <c r="C109" i="1"/>
  <c r="B109" i="1"/>
  <c r="C108" i="1"/>
  <c r="B108" i="1"/>
  <c r="C107" i="1"/>
  <c r="B107" i="1"/>
  <c r="C106" i="1"/>
  <c r="B106" i="1"/>
  <c r="C105" i="1"/>
  <c r="B105" i="1"/>
  <c r="C104" i="1"/>
  <c r="B104" i="1"/>
  <c r="C103" i="1"/>
  <c r="B103"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C63" i="1"/>
  <c r="B63" i="1"/>
  <c r="C62" i="1"/>
  <c r="B62" i="1"/>
  <c r="C61" i="1"/>
  <c r="B61" i="1"/>
  <c r="C60" i="1"/>
  <c r="B60" i="1"/>
  <c r="C59" i="1"/>
  <c r="B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alcChain>
</file>

<file path=xl/sharedStrings.xml><?xml version="1.0" encoding="utf-8"?>
<sst xmlns="http://schemas.openxmlformats.org/spreadsheetml/2006/main" count="2340" uniqueCount="1162">
  <si>
    <t xml:space="preserve"> СПЕЦІАЛІЗОВАНА ВАГОНОРЕМОНТНА МАЙСТЕРНЯ КОМУНАЛЬНОГО ПІДПРИЄМСТВА ДНІПРОВСЬКИЙ ЕЛЕКТРОТРАНСПОРТ ДНІПРОВСЬКОЇ МІСЬКОЇ РАДИ</t>
  </si>
  <si>
    <t>00-003888</t>
  </si>
  <si>
    <t>00034186</t>
  </si>
  <si>
    <t>01/60-434С</t>
  </si>
  <si>
    <t>01273125</t>
  </si>
  <si>
    <t>01882404</t>
  </si>
  <si>
    <t>02376</t>
  </si>
  <si>
    <t>02568259</t>
  </si>
  <si>
    <t>03328468</t>
  </si>
  <si>
    <t>03349499</t>
  </si>
  <si>
    <t>03410000-7 Деревина</t>
  </si>
  <si>
    <t>03597837</t>
  </si>
  <si>
    <t>04/К/199-20</t>
  </si>
  <si>
    <t>04377184</t>
  </si>
  <si>
    <t>04725970</t>
  </si>
  <si>
    <t>070820</t>
  </si>
  <si>
    <t xml:space="preserve">09130000-9 «Нафта і дистиляти»  (Бензин А-92- Євро5-Е5 або Е7 або Е10; ДП -З, ДП -Л- Євро5-В0 або В5 або В7; Бензин А-95- Євро5-Е5 або Е7 або Е10; Газ автомобільний скраплений по талонах або скретч-картках) 
</t>
  </si>
  <si>
    <t>09130000-9 Нафта і дистиляти</t>
  </si>
  <si>
    <t>09210000-4 Мастильні засоби</t>
  </si>
  <si>
    <t>09310000-5 (Електрична енергія) у кількості 156,4 тис. кВт год.</t>
  </si>
  <si>
    <t>09310000-5 Електрична енергія</t>
  </si>
  <si>
    <t>1</t>
  </si>
  <si>
    <t>10</t>
  </si>
  <si>
    <t>103</t>
  </si>
  <si>
    <t>1030Л</t>
  </si>
  <si>
    <t>104</t>
  </si>
  <si>
    <t>105</t>
  </si>
  <si>
    <t>109</t>
  </si>
  <si>
    <t>11</t>
  </si>
  <si>
    <t>110</t>
  </si>
  <si>
    <t>115</t>
  </si>
  <si>
    <t>12</t>
  </si>
  <si>
    <t>120</t>
  </si>
  <si>
    <t>1211-Е</t>
  </si>
  <si>
    <t>124</t>
  </si>
  <si>
    <t>126</t>
  </si>
  <si>
    <t>127</t>
  </si>
  <si>
    <t>13</t>
  </si>
  <si>
    <t>132</t>
  </si>
  <si>
    <t>133</t>
  </si>
  <si>
    <t>138</t>
  </si>
  <si>
    <t>13855890</t>
  </si>
  <si>
    <t>14054655</t>
  </si>
  <si>
    <t>14210000-6 Гравій, пісок, щебінь і наповнювачі</t>
  </si>
  <si>
    <t>14210000-6 гравій, пісок, щебінь і наповнювачі (щебінь фракції 20-40 мм, відсів щебню фракції 0-5 мм, пісок митий (річковий), пісок кар’єрний)</t>
  </si>
  <si>
    <t>14305453</t>
  </si>
  <si>
    <t>144</t>
  </si>
  <si>
    <t>14410000-8 Кам’яна сіль</t>
  </si>
  <si>
    <t>14410000-8 Кам’яна сіль (сіль технічна кам’яна)</t>
  </si>
  <si>
    <t>145</t>
  </si>
  <si>
    <t>147</t>
  </si>
  <si>
    <t>14720000-4 Алюміній, нікель, скандій, титан і ванадій</t>
  </si>
  <si>
    <t>14720000-4- Алюміній, нікель, скандій, титан і ванадій.</t>
  </si>
  <si>
    <t>148</t>
  </si>
  <si>
    <t>14810000-2 Абразивні вироби</t>
  </si>
  <si>
    <t>14810000-2- Абразивні вироби (власні кошти).</t>
  </si>
  <si>
    <t>14810000-2- Абразивні матеріали.</t>
  </si>
  <si>
    <t>14820000-5 Скло</t>
  </si>
  <si>
    <t>14820000-5 Скло (безпечно скло на трамвай та тролейбус)</t>
  </si>
  <si>
    <t>14820000-5- Скло (скло триплекс).</t>
  </si>
  <si>
    <t>14820000-5- Скло (скло триплекс).власні кошти.</t>
  </si>
  <si>
    <t>149</t>
  </si>
  <si>
    <t>151</t>
  </si>
  <si>
    <t>152</t>
  </si>
  <si>
    <t>153</t>
  </si>
  <si>
    <t>154</t>
  </si>
  <si>
    <t>155</t>
  </si>
  <si>
    <t>15510000-6 Молоко та вершки</t>
  </si>
  <si>
    <t>15510000-7- Молоко та вершки(згущене молоко).</t>
  </si>
  <si>
    <t>15510000-7- Молоко та вершки(згущене молоко).власні кошти.</t>
  </si>
  <si>
    <t>156</t>
  </si>
  <si>
    <t>157</t>
  </si>
  <si>
    <t>159</t>
  </si>
  <si>
    <t>16</t>
  </si>
  <si>
    <t>160</t>
  </si>
  <si>
    <t>161</t>
  </si>
  <si>
    <t>163</t>
  </si>
  <si>
    <t>167</t>
  </si>
  <si>
    <t>17</t>
  </si>
  <si>
    <t>171</t>
  </si>
  <si>
    <t>172</t>
  </si>
  <si>
    <t>1722501657</t>
  </si>
  <si>
    <t>174</t>
  </si>
  <si>
    <t>176</t>
  </si>
  <si>
    <t>178</t>
  </si>
  <si>
    <t>179</t>
  </si>
  <si>
    <t>18</t>
  </si>
  <si>
    <t>180</t>
  </si>
  <si>
    <t>181</t>
  </si>
  <si>
    <t>18130000-9 Спеціальний робочий одяг</t>
  </si>
  <si>
    <t xml:space="preserve">18130000-9 Спеціальний робочий одяг </t>
  </si>
  <si>
    <t>18130000-9 Спеціальний робочий одяг (Жилети)</t>
  </si>
  <si>
    <t>18140000-2 Аксесуари до робочого одягу</t>
  </si>
  <si>
    <t>18140000-2 Аксесуари до робочого одягу (рукавиці робочі, напівмаски, окуляри захисні)</t>
  </si>
  <si>
    <t>182</t>
  </si>
  <si>
    <t>1826000797</t>
  </si>
  <si>
    <t>18410000-6 Спеціальний одяг</t>
  </si>
  <si>
    <t>18410000-6 Спеціальний одяг (костюми х/б, халати,краги, черевики зимові, костюми зварника, черевики, жилети сигнальні, полукомбінезони х/б, плащі-дощовики, черевики зварника, куртки ватяні, штани утеплені, чоботи жіночі утеплені)</t>
  </si>
  <si>
    <t>18420000-9 Аксесуари для одягу</t>
  </si>
  <si>
    <t>18420000-9-Аксесуари для одягу (власні кошти).</t>
  </si>
  <si>
    <t>18420000-9-Аксесуари для одягу.</t>
  </si>
  <si>
    <t>1854/34/13-2020</t>
  </si>
  <si>
    <t>186</t>
  </si>
  <si>
    <t>19</t>
  </si>
  <si>
    <t>19038465</t>
  </si>
  <si>
    <t>191</t>
  </si>
  <si>
    <t>19143736</t>
  </si>
  <si>
    <t>192</t>
  </si>
  <si>
    <t>19240000-0 Спеціальні тканини</t>
  </si>
  <si>
    <t>19240000-0 Спеціальні тканини.</t>
  </si>
  <si>
    <t>19240000-0 Спеціальні тканини.(власні кошти).</t>
  </si>
  <si>
    <t>19240000-0- Спеціальні тканини</t>
  </si>
  <si>
    <t>19292459</t>
  </si>
  <si>
    <t>193</t>
  </si>
  <si>
    <t>1936302288</t>
  </si>
  <si>
    <t>194</t>
  </si>
  <si>
    <t>195</t>
  </si>
  <si>
    <t>19510000-4 Гумові вироби</t>
  </si>
  <si>
    <t>19510000-4- Гумові вироби (Ущільнювач, доріжка не формована)</t>
  </si>
  <si>
    <t>19510000-4- Гумові вироби (Ущільнювач, доріжка не формована) власні кошти</t>
  </si>
  <si>
    <t>19510000-4- Гумові вироби (пневморесори).</t>
  </si>
  <si>
    <t>19510000-4- Гумові вироби.</t>
  </si>
  <si>
    <t>19510000-4- Гумові вироби.(власні кошти).</t>
  </si>
  <si>
    <t>196</t>
  </si>
  <si>
    <t>197</t>
  </si>
  <si>
    <t>199</t>
  </si>
  <si>
    <t>1991202164</t>
  </si>
  <si>
    <t>2</t>
  </si>
  <si>
    <t>200</t>
  </si>
  <si>
    <t>20078659</t>
  </si>
  <si>
    <t>201</t>
  </si>
  <si>
    <t>203</t>
  </si>
  <si>
    <t>204</t>
  </si>
  <si>
    <t>2040311613</t>
  </si>
  <si>
    <t>20602681</t>
  </si>
  <si>
    <t>20616694</t>
  </si>
  <si>
    <t>2072217959</t>
  </si>
  <si>
    <t>20836479</t>
  </si>
  <si>
    <t>20875278</t>
  </si>
  <si>
    <t>209</t>
  </si>
  <si>
    <t>20915405</t>
  </si>
  <si>
    <t>21</t>
  </si>
  <si>
    <t>2105202051</t>
  </si>
  <si>
    <t>217</t>
  </si>
  <si>
    <t>218</t>
  </si>
  <si>
    <t>219</t>
  </si>
  <si>
    <t>21БРТ-2738</t>
  </si>
  <si>
    <t>22</t>
  </si>
  <si>
    <t>22 ДЕРЖАВНА ПОЖЕЖНО-РЯТУВАЛЬНА ЧАСТИНА ГОЛОВНОГО УПРАВЛІННЯ ДЕРЖАВНОЇ СЛУЖБИ УКРАЇНИ З НАДЗВИЧАЙНИХ СИТУАЦІЙ У МИКОЛАЇВСЬКІЙ ОБЛАСТІ</t>
  </si>
  <si>
    <t>2212102586</t>
  </si>
  <si>
    <t>2215206937</t>
  </si>
  <si>
    <t>22210000-5 Газети</t>
  </si>
  <si>
    <t>223</t>
  </si>
  <si>
    <t>224</t>
  </si>
  <si>
    <t>22437482</t>
  </si>
  <si>
    <t>22450000-9 Друкована продукція з елементами захисту</t>
  </si>
  <si>
    <t>22450000-9- Друкована продукція з елементами захисту(разові квитки)</t>
  </si>
  <si>
    <t>22450000-9- Друкована продукція з елементами захисту(разові квитки) власні кошти.</t>
  </si>
  <si>
    <t>225</t>
  </si>
  <si>
    <t>226</t>
  </si>
  <si>
    <t>227</t>
  </si>
  <si>
    <t>22723472</t>
  </si>
  <si>
    <t>2276900992</t>
  </si>
  <si>
    <t>228</t>
  </si>
  <si>
    <t>22820000-4 Бланки</t>
  </si>
  <si>
    <t>22820000-4-Бланки.</t>
  </si>
  <si>
    <t>229</t>
  </si>
  <si>
    <t>23</t>
  </si>
  <si>
    <t>230</t>
  </si>
  <si>
    <t>23397365</t>
  </si>
  <si>
    <t>23399393</t>
  </si>
  <si>
    <t>234</t>
  </si>
  <si>
    <t>23630755</t>
  </si>
  <si>
    <t>237</t>
  </si>
  <si>
    <t>238</t>
  </si>
  <si>
    <t>239</t>
  </si>
  <si>
    <t>2392101377</t>
  </si>
  <si>
    <t>24</t>
  </si>
  <si>
    <t>24/11</t>
  </si>
  <si>
    <t>240</t>
  </si>
  <si>
    <t>2408613346</t>
  </si>
  <si>
    <t>241</t>
  </si>
  <si>
    <t>2411-E</t>
  </si>
  <si>
    <t>24110000-8 Промислові гази</t>
  </si>
  <si>
    <t>24110000-8- Промислові гази (аргон, ацетилен, кисень, вуглекислота).</t>
  </si>
  <si>
    <t>24110000-8- Промислові гази (аргон, ацетилен, кисень, вуглекислота).(власні кошти).</t>
  </si>
  <si>
    <t>24112229</t>
  </si>
  <si>
    <t>243</t>
  </si>
  <si>
    <t>244</t>
  </si>
  <si>
    <t>24450000-3 Агрохімічна продукція</t>
  </si>
  <si>
    <t>2457415416</t>
  </si>
  <si>
    <t>246</t>
  </si>
  <si>
    <t>2465501705</t>
  </si>
  <si>
    <t>247</t>
  </si>
  <si>
    <t>2471313049</t>
  </si>
  <si>
    <t>24786689</t>
  </si>
  <si>
    <t>24790030</t>
  </si>
  <si>
    <t>248</t>
  </si>
  <si>
    <t>249</t>
  </si>
  <si>
    <t>24950000-8 Спеціалізована хімічна продукція</t>
  </si>
  <si>
    <t xml:space="preserve">24950000-8 — Спеціалізована хімічна продукція
(компоненти для виготовлення суміші для еластичного кріплення трамвайних рейок)
</t>
  </si>
  <si>
    <t>25</t>
  </si>
  <si>
    <t>250</t>
  </si>
  <si>
    <t>251</t>
  </si>
  <si>
    <t>2539012973</t>
  </si>
  <si>
    <t>254</t>
  </si>
  <si>
    <t>2557611709</t>
  </si>
  <si>
    <t>256</t>
  </si>
  <si>
    <t>25634875</t>
  </si>
  <si>
    <t>2586700212</t>
  </si>
  <si>
    <t>26</t>
  </si>
  <si>
    <t>26195082</t>
  </si>
  <si>
    <t>262</t>
  </si>
  <si>
    <t>2623800019</t>
  </si>
  <si>
    <t>2628307161</t>
  </si>
  <si>
    <t>2632509193</t>
  </si>
  <si>
    <t>2635608017</t>
  </si>
  <si>
    <t>26458587</t>
  </si>
  <si>
    <t>2655809665</t>
  </si>
  <si>
    <t>2661214112</t>
  </si>
  <si>
    <t>2666820800</t>
  </si>
  <si>
    <t>27</t>
  </si>
  <si>
    <t>270</t>
  </si>
  <si>
    <t>271</t>
  </si>
  <si>
    <t>274</t>
  </si>
  <si>
    <t>275</t>
  </si>
  <si>
    <t>276</t>
  </si>
  <si>
    <t>277</t>
  </si>
  <si>
    <t>277/1</t>
  </si>
  <si>
    <t>278/1</t>
  </si>
  <si>
    <t>279</t>
  </si>
  <si>
    <t>2796220771</t>
  </si>
  <si>
    <t>281</t>
  </si>
  <si>
    <t>282</t>
  </si>
  <si>
    <t>283</t>
  </si>
  <si>
    <t>284</t>
  </si>
  <si>
    <t>285</t>
  </si>
  <si>
    <t>2861907739</t>
  </si>
  <si>
    <t>288</t>
  </si>
  <si>
    <t>289</t>
  </si>
  <si>
    <t>29/01</t>
  </si>
  <si>
    <t>2928601599</t>
  </si>
  <si>
    <t>293</t>
  </si>
  <si>
    <t>2934912154</t>
  </si>
  <si>
    <t>294</t>
  </si>
  <si>
    <t>295</t>
  </si>
  <si>
    <t>2951914372</t>
  </si>
  <si>
    <t>296</t>
  </si>
  <si>
    <t>2977100631</t>
  </si>
  <si>
    <t>2983100606</t>
  </si>
  <si>
    <t>2997510072</t>
  </si>
  <si>
    <t>3</t>
  </si>
  <si>
    <t>3 ДЕРЖАВНА ПОЖЕЖНО-РЯТУВАЛЬНА ЧАСТИНА ГОЛОВНОГО УПРАВЛІННЯ ДЕРЖАВНОЇ СЛУЖБИ УКРАЇНИ З НАДЗВИЧАЙНИХ СИТУАЦІЙ У МИКОЛАЇВСЬКІЙ ОБЛАСТІ</t>
  </si>
  <si>
    <t>300</t>
  </si>
  <si>
    <t>300465</t>
  </si>
  <si>
    <t>30126040</t>
  </si>
  <si>
    <t>30190000-7 Офісне устаткування та приладдя різне</t>
  </si>
  <si>
    <t>30190000-7-Офісне устаткування та приладдя різне.</t>
  </si>
  <si>
    <t>30190000-7-Офісне устаткування та приладдя різне.(власні кошти)</t>
  </si>
  <si>
    <t>302</t>
  </si>
  <si>
    <t>30230000-0 Комп’ютерне обладнання</t>
  </si>
  <si>
    <t>30230000-0- Комп'ютерне обладнання</t>
  </si>
  <si>
    <t>30230000-0- Комп'ютерне обладнання.</t>
  </si>
  <si>
    <t>30230000-0- Комп'ютерне обладнання.(власні кошти).</t>
  </si>
  <si>
    <t>30397329</t>
  </si>
  <si>
    <t>304</t>
  </si>
  <si>
    <t>305</t>
  </si>
  <si>
    <t>3056215914</t>
  </si>
  <si>
    <t>307</t>
  </si>
  <si>
    <t>30721944</t>
  </si>
  <si>
    <t>308</t>
  </si>
  <si>
    <t>30826174</t>
  </si>
  <si>
    <t>309</t>
  </si>
  <si>
    <t>31</t>
  </si>
  <si>
    <t>310</t>
  </si>
  <si>
    <t>31110000-0 Електродвигуни</t>
  </si>
  <si>
    <t>31110000-0- Електродвигуни</t>
  </si>
  <si>
    <t>31120000-3 Генератори</t>
  </si>
  <si>
    <t xml:space="preserve">31120000-3 Генератори (генератори бензинові, акумулятори на бензогенератори) </t>
  </si>
  <si>
    <t>31159449</t>
  </si>
  <si>
    <t>31160000-5 Частини електродвигунів, генераторів і трансформаторів</t>
  </si>
  <si>
    <t>31160000-5- Частини електродвигунів, генераторів і трансформаторів (електрощітки для трамваїв та тролейбусів)</t>
  </si>
  <si>
    <t>31160000-5- Частини електродвигунів, генераторів і трансформаторів (електрощітки для трамваїв та тролейбусів) власні кошти</t>
  </si>
  <si>
    <t>31160000-5- Частини електродвигунів, генераторів і трансформаторів.</t>
  </si>
  <si>
    <t>31160000-5- Частини електродвигунів, генераторів і трансформаторів.(власні кошти)</t>
  </si>
  <si>
    <t>31160000-5-Частини електродвигунів, генераторів і трансформаторів (власні кошти).</t>
  </si>
  <si>
    <t>31160000-5-Частини електродвигунів, генераторів і трансформаторів.</t>
  </si>
  <si>
    <t>31210000-1 Електрична апаратура для комутування та захисту електричних кіл</t>
  </si>
  <si>
    <t>31210000-1 Електрична апаратура для комутування та захисту електричних кіл (вимикач, контактори).</t>
  </si>
  <si>
    <t>31210000-1 Електрична апаратура для комутування та захисту електричних кіл (контактори, реле)</t>
  </si>
  <si>
    <t>31220000-4 Елементи електричних схем</t>
  </si>
  <si>
    <t>31220000-4- Елементи електричних схем(реле, транзистори, стабілізатори) власні кошти</t>
  </si>
  <si>
    <t>31220000-4- Елементи електричних схем(реле, транзистори, стабілізатори).</t>
  </si>
  <si>
    <t>31220000-4- Елементи електричних схем.</t>
  </si>
  <si>
    <t>31220000-4- Елементи електричних схем. (власні кошти)</t>
  </si>
  <si>
    <t>31230000-7 Частини електророзподільної чи контрольної апаратури</t>
  </si>
  <si>
    <t>31230000-7- Частини електророзподільної чи контрольної апаратури.</t>
  </si>
  <si>
    <t>31230000-7- Частини електророзподільної чи контрольної апаратури.(власні кошти).</t>
  </si>
  <si>
    <t>31319242</t>
  </si>
  <si>
    <t>3134900375</t>
  </si>
  <si>
    <t>314</t>
  </si>
  <si>
    <t>31440000-2 Акумуляторні батареї</t>
  </si>
  <si>
    <t xml:space="preserve">31440000-2 — Акумуляторні батареї (2 лоти)
</t>
  </si>
  <si>
    <t>31440000-2- Акумуляторні батареї.</t>
  </si>
  <si>
    <t>31440000-2- Акумуляторні батареї.(акумуляторні батареї 5KL 125-P)</t>
  </si>
  <si>
    <t>315</t>
  </si>
  <si>
    <t>31510000-4 Електричні лампи розжарення</t>
  </si>
  <si>
    <t>31510000-4 Електричні лампи розжарення (лампи, фарні лампи, світлодіодні лампи, прожектори, світлодіодна стрічка)</t>
  </si>
  <si>
    <t>31510000-4- Електричні лампи.</t>
  </si>
  <si>
    <t>31520000-7 Світильники та освітлювальна арматура</t>
  </si>
  <si>
    <t>31520000-7- Світильники та освітлювальна арматура.</t>
  </si>
  <si>
    <t>31520000-7- Світильники та освітлювальна арматура.(власні кошти)</t>
  </si>
  <si>
    <t>31520000-7-Світильники та освітлювальна арматура (світильники)</t>
  </si>
  <si>
    <t>31530000-0 Частини до світильників та освітлювального обладнання</t>
  </si>
  <si>
    <t>31530000-0- Частини до світильників та освітлювального обладнання.</t>
  </si>
  <si>
    <t>31530000-0- Частини до світильників та освітлювального обладнання.(власні кошти).</t>
  </si>
  <si>
    <t>31554081</t>
  </si>
  <si>
    <t>31610000-5 Електричне обладнання для двигунів і транспортних засобів</t>
  </si>
  <si>
    <t>31610000-5 Електричне обладнання для двигунів і транспортних засобів (Електронна система керування тяговим двигуном постійного струму с подальшим збудженням для трамвайних вагонів типу SDMC103-01-01*)</t>
  </si>
  <si>
    <t>31610000-5 Електричне обладнання для двигунів і транспортних засобів (дроселі, блоки живлення).</t>
  </si>
  <si>
    <t>31610000-5- електротехнічне обладнання для двигунів і транспортних засобів</t>
  </si>
  <si>
    <t>31610000-5- електротехнічне обладнання для двигунів і транспортних засобів.</t>
  </si>
  <si>
    <t>31650000-7 Ізоляційне приладдя</t>
  </si>
  <si>
    <t>31660000-0 Вугільні електроди</t>
  </si>
  <si>
    <t>31660000-0- Вугільні електроди(вставка контактна тролейбусна).</t>
  </si>
  <si>
    <t>31660000-0- Вугільні електроди(вставка контактна тролейбусна).власні кошти</t>
  </si>
  <si>
    <t>31680000-6 Електричне приладдя та супутні товари до електричного обладнання</t>
  </si>
  <si>
    <t>31680000-6 Електричне приладдя та супутні товари до електричного обладнання 
(автомати постіного струму, перемикачі, ізолятори, колодки, вставки, тримачі, роз’єми, майданчики, маркування, кнопки, блок-контакти, індикатори, гофра, кабельні накінечники, гільзи, термотрубки, спіралі, сальники,  розетки, вимикачі, шина, бокси, щит навісний, корпус металевий, підрозетники, коробки розподільні, короба пластикові)</t>
  </si>
  <si>
    <t>31680000-6- Електричне приладдя та супутні товари до електричного обладнання (власні кошти).</t>
  </si>
  <si>
    <t>31680000-6- Електричне приладдя та супутні товари до електричного обладнання.</t>
  </si>
  <si>
    <t>317</t>
  </si>
  <si>
    <t>31707243</t>
  </si>
  <si>
    <t>31710000-6 Електронне обладнання</t>
  </si>
  <si>
    <t>31710000-6- Електронне обладнання (діодно-тиристорні модулі, електроні реле,діоди та тиристори).</t>
  </si>
  <si>
    <t>31710000-6- Електронне обладнання.</t>
  </si>
  <si>
    <t>31710000-6-Електронне обладнання (власні кошти).</t>
  </si>
  <si>
    <t>31710000-6-Електронне обладнання (діодно-тиристорний модуль, електронні реле).</t>
  </si>
  <si>
    <t>31720000-9 Електромеханічне обладнання</t>
  </si>
  <si>
    <t>31730000-2 Електротехнічне обладнання</t>
  </si>
  <si>
    <t>31730000-2 Електротехнічне обладнання (затискачі, підвіси, стрілки, перетини, ізолятори, тримачі, вузли кріплення та підвісок, підвісні пари, стрілочні хрестовини, клеми, габаритні планки)</t>
  </si>
  <si>
    <t>31730000-2- Електротехнічне обладнання.</t>
  </si>
  <si>
    <t>31768611</t>
  </si>
  <si>
    <t>318</t>
  </si>
  <si>
    <t>319</t>
  </si>
  <si>
    <t>32</t>
  </si>
  <si>
    <t>320</t>
  </si>
  <si>
    <t>321</t>
  </si>
  <si>
    <t>322</t>
  </si>
  <si>
    <t>32230000-4 Апаратура для передавання радіосигналу з приймальним пристроєм</t>
  </si>
  <si>
    <t>32230000-4 Апаратура для передавання радіосигналу з приймальним пристроєм (камера відеоспостереження HIK Vision DS-2CD2043G0I (4.0)</t>
  </si>
  <si>
    <t>32230000-4 Апаратура для передавання радіосигналу з приймальним пристроєм (камера відеоспостереження HIK Vision DS-2CD2T43G0-18, реєстратор для відеоспостереження  HIK Vision DS-7616NI-Q2 160-80)</t>
  </si>
  <si>
    <t>32234000-2 Камери відеоспостереження</t>
  </si>
  <si>
    <t>32250000-0 Мобільні телефони</t>
  </si>
  <si>
    <t xml:space="preserve">32250000-0 Мобільні телефони </t>
  </si>
  <si>
    <t>323</t>
  </si>
  <si>
    <t>32320000-2 Телевізійне й аудіовізуальне обладнання</t>
  </si>
  <si>
    <t>32459822</t>
  </si>
  <si>
    <t>32490244</t>
  </si>
  <si>
    <t>32580000-2 Інформаційне обладнання</t>
  </si>
  <si>
    <t>32580000-2 Інформаційне обладнання (засіб криптографічного захисту інформації «Ключ електронний «Кристал-1»</t>
  </si>
  <si>
    <t>3259616594</t>
  </si>
  <si>
    <t>326</t>
  </si>
  <si>
    <t>328</t>
  </si>
  <si>
    <t>329</t>
  </si>
  <si>
    <t>32938047</t>
  </si>
  <si>
    <t>33</t>
  </si>
  <si>
    <t>330</t>
  </si>
  <si>
    <t>33010822</t>
  </si>
  <si>
    <t>331</t>
  </si>
  <si>
    <t>33120000-7 Системи реєстрації медичної інформації та дослідне обладнання</t>
  </si>
  <si>
    <t>33120000-7- Системи реєстрації медичної інформації та дослідне обладнання</t>
  </si>
  <si>
    <t>33120000-7- Системи реєстрації медичної інформації та дослідне обладнання. (індикатор парів етанолу у повітрі АГ-1200 )</t>
  </si>
  <si>
    <t>332</t>
  </si>
  <si>
    <t>3351200834</t>
  </si>
  <si>
    <t>33650000-1 Загальні протиінфекційні засоби для системного застосування, вакцини, антинеопластичні засоби та імуномодулятори</t>
  </si>
  <si>
    <t>33650000-1- Загальні протиінфекційні засоби для системного застосування, антинеопластичні засоби та імуномодулятори</t>
  </si>
  <si>
    <t>33690000-3 Лікарські засоби різні</t>
  </si>
  <si>
    <t>33690000-3- Лікарські засоби різні</t>
  </si>
  <si>
    <t>33690000-3- Лікарські засоби різні (власні кошти).</t>
  </si>
  <si>
    <t>33703603</t>
  </si>
  <si>
    <t>33730108</t>
  </si>
  <si>
    <t>338</t>
  </si>
  <si>
    <t>34</t>
  </si>
  <si>
    <t>34110000-1 Легкові автомобілі</t>
  </si>
  <si>
    <t>34110000-1 Легкові автомобілі (автомобіль спеціалізований УАЗ (KrASZ-U39ZS3)</t>
  </si>
  <si>
    <t>34310000-3 Двигуни та їх частини</t>
  </si>
  <si>
    <t>34310000-3- Двигуни та їх частини</t>
  </si>
  <si>
    <t>34318880</t>
  </si>
  <si>
    <t>34320000-6 Механічні запасні частини, крім двигунів і частин двигунів</t>
  </si>
  <si>
    <t>34320000-6 Механічні запасні частини, крім двигунів і частин двигунів (амортизатор, буфера, вкладиші, диски, зірочки, колеса редуктора, кільця, куб гумовий, муфти, прокладки, профіль буксовий, пильник гальмівного механізму, сайлентблок, ущільнювачі, червяки редуктора, шайби, датчики струму, контактори).</t>
  </si>
  <si>
    <t>34320000-6 Механічні запасні частини, крім двигунів і частин двигунів (манжети, автолампи, акумуляторні батареї, амортизатори, антифриз, аерозоль MD-40 (або WD-40) бачок омивача, болти заднього колеса, болти переднього колеса, вал колінчатий, вентилятори салону, вилки-розетки, вкладиші, воротки, втулки, вимикачі, гайки, герметики-прокладки, гідророзподільник, голівка торцева, датчики тиску повітря, диски, рідина гальмівна, клепки, замки, дзеркала, золотник вентиля камери, комплекти проводів високої напруги, комплекти прокладок, камери, котушки, клапани, клей, ключі, шкір-картон, колесо рульове, колодки гальмівні, ковпачки вентиля, кільця, палець амортизатора, контактор, крани, фарба-спрей, хрестовини, крило, крильчатка двигуна, кришки рульового колеса, латки для камер, стрічка гальмівна, стрічка фум, лист безазбестовий армований, моторні оливи, автомастика, проблісковий маяк, муфти, набивка сальникова, набір викруток, накладки, накінечники, насоси, патрубки, перемикачі, пістолет для силікона, пластирь ремонтний, плафон освітлення салону, пневмодроссель-глушник, повторювачі, подушки, підшипники, запобіжники, прес-маслянка, привід замку двері, дріт в’язальний, прокладки, пружини, пильник, ремкомплекти, радіатори, розгортки, роз’єми, рамки вимикачів, розсіювачі, рукава високого тиску, регулятори, реле, ремені, ресори, ролик натяжний, важіль склоочисника, сайлентблок, серветки автомобільні, сверла, світловідбивачі, свічки, сигнали, з’єднувачі електричні, ступіци колес, трапеція рульова, троси, трубки, кутик сполучення, подовжувач підкачки шин, ущільнювач дверей, покажчик повороту, фари, фільтри масляні, ліхтар боковий, ліхтарі, хомути, шайби, шестерні, шкворні, шків, шланги, шліфувальне коло, шліф-шкурка, шпилька, шплінт, шприць, штуцери, щітки, електродвигун нагрівача, електродвигун склоочисника, елемент оптичний)</t>
  </si>
  <si>
    <t>34320000-6- Механічні запасні частини крім двигунів і частин двигунів.</t>
  </si>
  <si>
    <t>34320000-6- Механічні запасні частини крім двигунів і частин двигунів.(власні кошти).</t>
  </si>
  <si>
    <t>34320000-6- Механічні запасні частини, крім двигунів і частин двигунів</t>
  </si>
  <si>
    <t>34320000-9- Механічні запасні частини крім двигунів і частин двигунів</t>
  </si>
  <si>
    <t>34330000-9 Запасні частини до вантажних транспортних засобів, фургонів та легкових автомобілів</t>
  </si>
  <si>
    <t>34330000-9- Запасні частини до вантажних транспорних засобів, фургонів та легкових автомобілів.</t>
  </si>
  <si>
    <t>34330000-9- Запасні частини до вантажних транспорних засобів, фургонів та легкових автомобілів.(власні кошти)</t>
  </si>
  <si>
    <t>34330000-9- Запасні частини до вантажних транспортних засобів, фургонів та легкових автомобілів.</t>
  </si>
  <si>
    <t>34330000-9- Запасні частини до вантажних транспортних засобів, фургонів та легкових автомобілів.(власні кошти)</t>
  </si>
  <si>
    <t>34330000-9- Запасні частини до вантажних транспортних засобів, фургонів та легкових автомобілів.(власні кошти).</t>
  </si>
  <si>
    <t>34350000-5 Шини для транспортних засобів великої та малої тоннажності</t>
  </si>
  <si>
    <t>34350000-5 Шини для транспортних засобів великої та малої тоннажності (автошини)</t>
  </si>
  <si>
    <t>34350000-5- Шини для транспортних засобів великої та малої тонажності (Автошина)</t>
  </si>
  <si>
    <t>34370000-1 Сидіння для мототранспортних засобів</t>
  </si>
  <si>
    <t>34370000-1 Сидіння для мототранспортних засобів (Сидіння пасажирські, сидіння водія)</t>
  </si>
  <si>
    <t>34376062</t>
  </si>
  <si>
    <t>34441026</t>
  </si>
  <si>
    <t>34630000-2 Частини залізничних або трамвайних локомотивів чи рейкового рухомого складу; обладнання для контролю залізничного руху</t>
  </si>
  <si>
    <t xml:space="preserve">34630000-2 Частини залізничних або трамвайних локомотивів чи рейкового рухомого складу; обладнання для контролю залізничного руху  (Комплекти дверей вхідних до трамваю КТМ-5МЗ-ВП)
</t>
  </si>
  <si>
    <t>34630000-2- Частини залізничних або трамвайних локомотивів рейкового рухомого складу.</t>
  </si>
  <si>
    <t>34630000-2- Частини залізничних або трамвайних локомотивів рейкового рухомого складу.(накладка гальмівна)</t>
  </si>
  <si>
    <t>348</t>
  </si>
  <si>
    <t>349</t>
  </si>
  <si>
    <t>34940000-8 Залізничне обладнання</t>
  </si>
  <si>
    <t>34940000-8 Залізничне обладнання (рейки типу Р-50(збереження), замикач пера стрілки трамвайної колії, шпала (тип 2А), втулка ізоляційна, болт закладний в зборі з гайкою, костиль колійний (16х16х165), накладка ТВ, накладка Р-50, підкладка Д-65 (збереження), підкладка Д-50 (збереження), прокладка гумові Д-65, прокладка гумові Д-50, шайба гровера 2-х виткова, болт стиковий М2 с/т, гайка М24, шайба плоска, перо стрілки для трамвайної колії 1524 мм права R30м, перо стрілки для трамвайної колії 1524 мм ліва R30м, клема ЛК 1, клема ЛК 4, клема ЛК 5)</t>
  </si>
  <si>
    <t>34940000-8- Залізничне обладнання</t>
  </si>
  <si>
    <t>34980000-0 Транспортні квитки</t>
  </si>
  <si>
    <t xml:space="preserve">34980000-0 Транспортні квитки </t>
  </si>
  <si>
    <t>34993471</t>
  </si>
  <si>
    <t>35</t>
  </si>
  <si>
    <t>350</t>
  </si>
  <si>
    <t>3502307474</t>
  </si>
  <si>
    <t>35110000-8 Протипожежне, рятувальне та захисне обладнання</t>
  </si>
  <si>
    <t>35110000-8- Протипожежне, рятувальне та захисне обладнання (вогнегасники).</t>
  </si>
  <si>
    <t>35120000-1 Системи та пристрої нагляду та охорони</t>
  </si>
  <si>
    <t xml:space="preserve">35120000-1 Системи та пристрої нагляду та охорони (штатив турнікета з комплектуючими)
</t>
  </si>
  <si>
    <t>352</t>
  </si>
  <si>
    <t>35273411</t>
  </si>
  <si>
    <t>353</t>
  </si>
  <si>
    <t>355</t>
  </si>
  <si>
    <t>35513211</t>
  </si>
  <si>
    <t>35625082</t>
  </si>
  <si>
    <t>35638615</t>
  </si>
  <si>
    <t>35673948</t>
  </si>
  <si>
    <t>357</t>
  </si>
  <si>
    <t>358</t>
  </si>
  <si>
    <t>35838749</t>
  </si>
  <si>
    <t>35858132</t>
  </si>
  <si>
    <t>360</t>
  </si>
  <si>
    <t>36098796</t>
  </si>
  <si>
    <t>36143386</t>
  </si>
  <si>
    <t>36143517</t>
  </si>
  <si>
    <t>362</t>
  </si>
  <si>
    <t>364</t>
  </si>
  <si>
    <t>367</t>
  </si>
  <si>
    <t>368</t>
  </si>
  <si>
    <t>36880698</t>
  </si>
  <si>
    <t>369</t>
  </si>
  <si>
    <t>36954743</t>
  </si>
  <si>
    <t>370</t>
  </si>
  <si>
    <t>371</t>
  </si>
  <si>
    <t>372</t>
  </si>
  <si>
    <t>37320399</t>
  </si>
  <si>
    <t>37383046</t>
  </si>
  <si>
    <t>374</t>
  </si>
  <si>
    <t>375</t>
  </si>
  <si>
    <t>37593697</t>
  </si>
  <si>
    <t>37697866</t>
  </si>
  <si>
    <t>37758567</t>
  </si>
  <si>
    <t>38069357</t>
  </si>
  <si>
    <t>38086765</t>
  </si>
  <si>
    <t>38157139</t>
  </si>
  <si>
    <t>38230779</t>
  </si>
  <si>
    <t>38313467</t>
  </si>
  <si>
    <t>38381956</t>
  </si>
  <si>
    <t>38395419</t>
  </si>
  <si>
    <t>38454636</t>
  </si>
  <si>
    <t>38458316</t>
  </si>
  <si>
    <t>38723865</t>
  </si>
  <si>
    <t>38773958</t>
  </si>
  <si>
    <t>388</t>
  </si>
  <si>
    <t>38841488</t>
  </si>
  <si>
    <t>38890446</t>
  </si>
  <si>
    <t>38976711</t>
  </si>
  <si>
    <t>39</t>
  </si>
  <si>
    <t>39013986</t>
  </si>
  <si>
    <t>39039648</t>
  </si>
  <si>
    <t>39110000-6 Сидіння, стільці та супутні вироби і частини до них</t>
  </si>
  <si>
    <t>39110000-6- Сидіння, стільці та супутні вироби і частини до них</t>
  </si>
  <si>
    <t>39110000-6- Сидіння, стільці та супутні вироби і частини до них.</t>
  </si>
  <si>
    <t>39110000-6- Сидіння, стільці та супутні вироби і частини до них.(власні кошти)</t>
  </si>
  <si>
    <t>39110311</t>
  </si>
  <si>
    <t>39130000-2 Офісні меблі</t>
  </si>
  <si>
    <t>39130000-2- Офісні меблі.</t>
  </si>
  <si>
    <t>39220000-0 Кухонне приладдя, товари для дому та господарства і приладдя для закладів громадського харчування</t>
  </si>
  <si>
    <t>39220000-0 Кухонне приладдя, товари для дому та господарства і приладдя для закладів громадського харчування (Товари для господарства)</t>
  </si>
  <si>
    <t>39461251</t>
  </si>
  <si>
    <t>39530000-6 Килимові покриття, килимки та килими</t>
  </si>
  <si>
    <t>39540000-9 Вироби різні з канату, мотузки, шпагату та сітки</t>
  </si>
  <si>
    <t>39540000-9- Вироби різні з канату, мотузки, шпагата, та сітки.</t>
  </si>
  <si>
    <t>39540000-9- Вироби різні з канату, мотузки, шпагата, та сітки.(власні кошти).</t>
  </si>
  <si>
    <t>39705831</t>
  </si>
  <si>
    <t>39710000-2 Електричні побутові прилади</t>
  </si>
  <si>
    <t>39710000-2-Електричні побутові прилади (тени до бойлера).</t>
  </si>
  <si>
    <t>39710000-2-Електричні побутові прилади (тени до бойлера).власні кошти.</t>
  </si>
  <si>
    <t>39798690</t>
  </si>
  <si>
    <t>398</t>
  </si>
  <si>
    <t>39830000-9 Продукція для чищення</t>
  </si>
  <si>
    <t>39830000-9- Продукція для чищення</t>
  </si>
  <si>
    <t>39830000-9-Продукція для чищення</t>
  </si>
  <si>
    <t>39830000-9-Продукція для чищення (власні кошти).</t>
  </si>
  <si>
    <t>4</t>
  </si>
  <si>
    <t>40</t>
  </si>
  <si>
    <t>400</t>
  </si>
  <si>
    <t>40109016</t>
  </si>
  <si>
    <t>40233648</t>
  </si>
  <si>
    <t>404</t>
  </si>
  <si>
    <t>405</t>
  </si>
  <si>
    <t>40515336</t>
  </si>
  <si>
    <t>407</t>
  </si>
  <si>
    <t>408</t>
  </si>
  <si>
    <t>409</t>
  </si>
  <si>
    <t>40934445</t>
  </si>
  <si>
    <t>41</t>
  </si>
  <si>
    <t>410</t>
  </si>
  <si>
    <t>411</t>
  </si>
  <si>
    <t>41106016</t>
  </si>
  <si>
    <t>41110000-3 Питна вода</t>
  </si>
  <si>
    <t>41166955</t>
  </si>
  <si>
    <t>412</t>
  </si>
  <si>
    <t>41225528</t>
  </si>
  <si>
    <t>41276614</t>
  </si>
  <si>
    <t>41299123</t>
  </si>
  <si>
    <t>413</t>
  </si>
  <si>
    <t>41478552</t>
  </si>
  <si>
    <t>41480776</t>
  </si>
  <si>
    <t>41616091</t>
  </si>
  <si>
    <t>41760190</t>
  </si>
  <si>
    <t>41767220</t>
  </si>
  <si>
    <t>41798255</t>
  </si>
  <si>
    <t>42</t>
  </si>
  <si>
    <t>42032202</t>
  </si>
  <si>
    <t>421</t>
  </si>
  <si>
    <t>42117191</t>
  </si>
  <si>
    <t>42120000-6 Насоси та компресори</t>
  </si>
  <si>
    <t>42120000-6- Насоси та компресори (повітряний насос LB-50).</t>
  </si>
  <si>
    <t>42120000-6- Насоси та компресори (повітряний насос LB-50).власні кошти.</t>
  </si>
  <si>
    <t>42129888</t>
  </si>
  <si>
    <t>42130000-9 Арматура трубопровідна: крани, вентилі, клапани та подібні пристрої</t>
  </si>
  <si>
    <t>42130000-9- Арматура трубопровідна: крани, вентелі, клапани та подібні пристрої.</t>
  </si>
  <si>
    <t>42130000-9- Арматура трубопровідна: крани, вентелі, клапани та подібні пристрої.(власні кошти).</t>
  </si>
  <si>
    <t xml:space="preserve">42140000 (Зубчасті колеса, зубчасті передачі та приводні елементи)
(хрестовина диференціала, вінець зубчастий, маточина вінця зубчастого, водило, кришка центрального редуктора, вісь сателіта з підшипниками, піввісь 118.77, піввісь 318.77, сателіт, 
маточина колеса заднього, шестерня конічна диференціала велика, шестерня конічна диференціала мала у зборі з втулками, шестерня сонячна,  обкатна пара RABA 118.77, обкатна пара RABA 318.77, картер головної передачі 318.77, картер головної передачі 118.77, чашка диференціала в комплекті з болтами, цапфа заднього колеса RABA, фланець центрального редуктора, стакан підшипника (втулка підшипника), карданний вал ЗИУ, хрестовина карданного валу ЗИУ, карданний вал ШКОДА, хрестовина карданного валу ШКОДА, карданний вал ЮМЗ, хрестовина карданного валу ЮМЗ, карданний вал ТЗ, хрестовина карданного валу ТЗ, карданний вал ТЗМ (К1), хрестовина карданного валу ТЗМ (К1), карданний вал КТМ, хрестовина карданного валу КТМ, вал шестерня Z10 (Т3), тарільчасте колесо Z 39 (Т3), вал шестерня Z7 (Т3), тарільчасте колесо Z 52 (Т3),  вал шестерня У202 (хвостовик КТМ), тарільчасте колесо У221 (КТМ), фланець редуктора (шпонка) (Т3), фланець шліцьовий (Т3), вал шестерня Z 18 конічна (7512)(7610) (Т3) , вал шестерня Z 18 шліцьова (Т3), колесо зубчасте Z 34 (Т3), колесо зубчасте Z 34 посилене (Т3), втулка редуктора з гайкой посиленою (Т3), втулка редуктора з гайкой непосиленою (Т3), втулка одноступінчастого редуктора (Т3)
</t>
  </si>
  <si>
    <t>42140000-2 Зубчасті колеса, зубчасті передачі та приводні елементи</t>
  </si>
  <si>
    <t>42140000-2- Зубчасті колеса, зубчасті передачі та приводні елементи</t>
  </si>
  <si>
    <t>42140000-2- Зубчасті колеса, зубчасті передачі та приводні елементи (вали, шестерні).</t>
  </si>
  <si>
    <t>42140000-2- Зубчасті колеса, зубчасті передачі та приводні елементи (вали, шестерні).власні кошти</t>
  </si>
  <si>
    <t>42283450</t>
  </si>
  <si>
    <t>42353322</t>
  </si>
  <si>
    <t>42355445</t>
  </si>
  <si>
    <t>42410378</t>
  </si>
  <si>
    <t>425</t>
  </si>
  <si>
    <t>42510000-4 Теплообмінники, кондиціонери повітря, холодильне обладнання та фільтрувальні пристрої</t>
  </si>
  <si>
    <t>42520000-7 Вентиляційне обладнання</t>
  </si>
  <si>
    <t>42650000-7 Ручні інструменти пневматичні чи моторизовані</t>
  </si>
  <si>
    <t>42660000-0 Інструменти для паяння м’яким і твердим припоєм та для зварювання, машини та устаткування для поверхневої термообробки і гарячого напилювання</t>
  </si>
  <si>
    <t>42670000-3 Частини та приладдя до верстатів</t>
  </si>
  <si>
    <t>42670000-3 Частини та приладдя до верстатів (круги алмазні, різці відрізні, різці прохідні, різці розточні, різці для накаток, різці різьбові, воротки, свердла, комплекти кулачків до патрону, круги пп, мітчики)</t>
  </si>
  <si>
    <t>42710000-6 Машини для виробництва текстильних виробів</t>
  </si>
  <si>
    <t>43086259</t>
  </si>
  <si>
    <t>43099315</t>
  </si>
  <si>
    <t>43260000-3 Механічні лопати, екскаватори та ковшові навантажувачі, гірнича техніка (43262100-8 екскаватор-навантажувач)</t>
  </si>
  <si>
    <t>43262100-8 Механічні екскаватори</t>
  </si>
  <si>
    <t>43277468</t>
  </si>
  <si>
    <t>43830000-0 Електричні інструменти</t>
  </si>
  <si>
    <t>43830000-0- Електричні інструменти.</t>
  </si>
  <si>
    <t>43830000-0- Електричні інструменти. (власні кошти).</t>
  </si>
  <si>
    <t>440</t>
  </si>
  <si>
    <t>44110000-4 Конструкційні матеріали</t>
  </si>
  <si>
    <t>44110000-4 Конструкційні матеріали 
Плитка тротуарна</t>
  </si>
  <si>
    <t xml:space="preserve">44110000-4 Конструкційні матеріали (АКП-облицювальна тришарова алюмінієва композитна панель) </t>
  </si>
  <si>
    <t>44110000-4 Конструкційні матеріали (металопрофіль, листи, металочерепиця, коньки)</t>
  </si>
  <si>
    <t>44110000-4 Конструкційні матеріали (цемент Ольшанка 400).</t>
  </si>
  <si>
    <t>44110000-4- Конструкційні матеріали</t>
  </si>
  <si>
    <t>44110000-4- Конструкційні матеріали ( лінолеум, плінтус, фурнітура).</t>
  </si>
  <si>
    <t>44110000-4- Конструкційні матеріали ( лінолеум, плінтус, фурнітура).власні кошти.</t>
  </si>
  <si>
    <t>44110000-4- Конструкційні матеріали (асфальтобетон дрібнозернистий тип Б марка 1).</t>
  </si>
  <si>
    <t>44110000-4- Конструкційні матеріали (асфальтобетон дрібнозернистий тип Б марка 1).власні кошти</t>
  </si>
  <si>
    <t>44110000-4- Конструкційні матеріали (будівельні матеріали).</t>
  </si>
  <si>
    <t>44110000-4- Конструкційні матеріали (ліноліум),  власні кошти.</t>
  </si>
  <si>
    <t>44110000-4- Конструкційні матеріали (ліноліум).</t>
  </si>
  <si>
    <t>44110000-4- Конструкційні матеріали (суміші асфальтобетонні гарячі, бітум дорожній).</t>
  </si>
  <si>
    <t>44110000-4- Конструкційні матеріали(лінолеум, плінтус, фурнітура)</t>
  </si>
  <si>
    <t>44110000-4-Конструкційні матеріали (цемент).</t>
  </si>
  <si>
    <t>44170000-2 Плити, листи, стрічки та фольга, пов’язані з конструкційними матеріалами</t>
  </si>
  <si>
    <t>44190000-8 44190000-8 Конструкційні матеріали різні (фанера , ОСБ).</t>
  </si>
  <si>
    <t>44190000-8 Конструкційні матеріали різні</t>
  </si>
  <si>
    <t>44210000-5 Конструкції та їх частини</t>
  </si>
  <si>
    <t>44210000-5 Конструкції та їх частини (опори СК 120-17)</t>
  </si>
  <si>
    <t>44220000-8 Столярні вироби</t>
  </si>
  <si>
    <t>44220000-8 Столярні вироби (Вікна металопластикові з двома стулками в комплекті із супутніми матеріалами - 44221100-6</t>
  </si>
  <si>
    <t>44220000-8- Столярні вироби (конструкція полівінілхлоридна у комплекті).</t>
  </si>
  <si>
    <t>44220000-8- Столярні вироби (конструкція полівінілхлоридна у комплекті).власні кошти</t>
  </si>
  <si>
    <t>44221100-6 Вікна</t>
  </si>
  <si>
    <t>44310000-6 Вироби з дроту</t>
  </si>
  <si>
    <t xml:space="preserve">44310000-6 Вироби з дроту (канат сталевий оцинкований діаметр 6,8 мм) </t>
  </si>
  <si>
    <t>44310000-6 Вироби з дроту (провід ПЄТД-200, провід ПСДКЛ-Л)</t>
  </si>
  <si>
    <t>44310000-6- Вироби з дроту (провід та супутні товари).</t>
  </si>
  <si>
    <t>44310000-6- Канати сталеві , оцинковані</t>
  </si>
  <si>
    <t>44320000-9 Кабелі та супутня продукція</t>
  </si>
  <si>
    <t xml:space="preserve">44320000-9 Кабелі та супутня продукція </t>
  </si>
  <si>
    <t>44320000-9 Кабелі та супутня продукція (кабелі та провід)</t>
  </si>
  <si>
    <t>44320000-9- Кабелі та супутня продукція.</t>
  </si>
  <si>
    <t>44320000-9- Кабелі та супутня продукція.(власні кошти).</t>
  </si>
  <si>
    <t>44330000-2 44330000-2 Будівельні прути, стрижні, дроти та профілі (круги, арматура, шестигранники, кутики, труби профільні, швелер, листи)</t>
  </si>
  <si>
    <t>44330000-2 Будівельні прути, стрижні, дроти та профілі</t>
  </si>
  <si>
    <t>44330000-2 Будівельні прути, стрижні, дроти та профілі (Профіль CD, профіль UD, кутик для укосу алюмнієвий, профіль Т-24 білий , стрижень з загином (гачок), стрижень закріплюючий (з вушком), пружинний підвіс (метелик), профіль пристінний білий)</t>
  </si>
  <si>
    <t>44330000-2- Будівельні прути, стрижні, дроти та профілі.</t>
  </si>
  <si>
    <t>44330000-2- Будівельні прути, стрижні, дроти та профілі.(власні кошти).</t>
  </si>
  <si>
    <t>44330000-2-Будівельні прути, стрижні, дроти та профілі.</t>
  </si>
  <si>
    <t>44330000-2-Будівельні прути, стрижні, дроти та профілі.(власні кошти).</t>
  </si>
  <si>
    <t>44420000-0 Будівельні товари</t>
  </si>
  <si>
    <t>44420000-0- Будівельні матеріали.</t>
  </si>
  <si>
    <t>44420000-0- Будівельні товари</t>
  </si>
  <si>
    <t>44420000-0- Будівельні товари.</t>
  </si>
  <si>
    <t>44420000-0- Будівельні товари. (власні кошти)</t>
  </si>
  <si>
    <t>44420000-0- Будівельні товари.(власні кошти).</t>
  </si>
  <si>
    <t>44440000-6 Вальниці</t>
  </si>
  <si>
    <t>44440000-6- Вальниці</t>
  </si>
  <si>
    <t>44440000-6- Вальниці (підшипники)</t>
  </si>
  <si>
    <t>44440000-6- Вальниці (підшипники) власні кошти.</t>
  </si>
  <si>
    <t>44440000-6- Вальниці (підшипники).</t>
  </si>
  <si>
    <t>44510000-8 Знаряддя</t>
  </si>
  <si>
    <t>44510000-8- Знаряддя.</t>
  </si>
  <si>
    <t>44510000-8- Знаряддя.(власні кошти).</t>
  </si>
  <si>
    <t>44510000-8-Знаряддя.</t>
  </si>
  <si>
    <t>44510000-8-Знаряддя.(власні кошти)</t>
  </si>
  <si>
    <t>44520000-1 Замки, ключі та петлі</t>
  </si>
  <si>
    <t>44520000-1-Замки, ключі та петлі.</t>
  </si>
  <si>
    <t>44520000-1-Замки, ключі та петлі. (власні кошти)</t>
  </si>
  <si>
    <t>44530000-4 Кріпильні деталі</t>
  </si>
  <si>
    <t>44530000-4- Кріпильні матеріали (власні кошти).</t>
  </si>
  <si>
    <t>44530000-4- Кріпильні матеріали.</t>
  </si>
  <si>
    <t>44550000-0 Пружини</t>
  </si>
  <si>
    <t>44550000-0 Пружини (пружини двигуна нижні, пружини КПД, пружини пантографа, пружини підвіски, пружини потенціометра, пружини серцевини соленоїда, пружини силові соленоїда, пружини гальмівної колодки).</t>
  </si>
  <si>
    <t>44610000-9 Цистерни, резервуари, контейнери та посудини високого тиску</t>
  </si>
  <si>
    <t>44610000-9 Цистерни, резервуари, контейнери та посудини високого тиску (балони газові кисень, балони газові пропан-бутан, редуктори  балонні, клапани, різаки, рукав для газового зварювання та різання, хомути, шнур капроновий, дріт зварювальний)</t>
  </si>
  <si>
    <t>44620000-2 Радіатори і котли для систем центрального опалення та їх деталі</t>
  </si>
  <si>
    <t>44620000-2 Радіатори і котли для систем центрального опалення та їх деталі (радіатори та комплектуючі)</t>
  </si>
  <si>
    <t>44620000-2- Радіатори і котли для систем центрального опалення та їх деталі.</t>
  </si>
  <si>
    <t>44620000-2- Радіатори і котли для систем центрального опалення та їх деталі.(власні кошти).</t>
  </si>
  <si>
    <t>44830000-7 Мастики, шпаклівки, замазки та розчинники</t>
  </si>
  <si>
    <t>44830000-7- Мастики шпаклівки замазки та розчинники.</t>
  </si>
  <si>
    <t>44830000-7- Мастики, шпаклівки, замазки та розчинники</t>
  </si>
  <si>
    <t>44830000-7- Мастики, шпаклівки, замазки та розчинники.</t>
  </si>
  <si>
    <t>44830000-7- Мастики, шпаклівки, замазки та розчинники. (власні кошти)</t>
  </si>
  <si>
    <t>45</t>
  </si>
  <si>
    <t>45110000-1 Руйнування та знесення будівель  і земляні роботи</t>
  </si>
  <si>
    <t>45110000-1 Руйнування та знесення будівель і земляні роботи</t>
  </si>
  <si>
    <t>45110000-1 Руйнування та знесення будівель і земляні роботи (прокол, копання котловану).</t>
  </si>
  <si>
    <t xml:space="preserve">45310000-3 Електромонтажні роботи 
(45312200-9 встановлення систем охоронної сигналізації) </t>
  </si>
  <si>
    <t>45312200-9 Встановлення систем охоронної сигналізації</t>
  </si>
  <si>
    <t>45330000-9 Водопровідні та санітарно-технічні роботи</t>
  </si>
  <si>
    <t>45510000-5 Прокат підіймальних кранів із оператором</t>
  </si>
  <si>
    <t>45520000-8  Прокат обладнання з оператором  для виконання земляних робіт (послуги з навантаження асфальтобетонної крихти)</t>
  </si>
  <si>
    <t>45520000-8 Прокат обладнання з оператором для виконання земляних робіт</t>
  </si>
  <si>
    <t>46</t>
  </si>
  <si>
    <t>48210000-3 Пакети мережевого програмного забезпечення</t>
  </si>
  <si>
    <t>48220000-6 Пакети програмного забезпечення для мереж Інтернет та Інтранет</t>
  </si>
  <si>
    <t>48810000-9 Інформаційні системи</t>
  </si>
  <si>
    <t>49</t>
  </si>
  <si>
    <t>5</t>
  </si>
  <si>
    <t>5/2020</t>
  </si>
  <si>
    <t>50</t>
  </si>
  <si>
    <t>50-0631</t>
  </si>
  <si>
    <t>50110000-9 Послуги з ремонту і технічного обслуговування мототранспортних засобів і супутнього обладнання</t>
  </si>
  <si>
    <t>50110000-9- Послуги з ремонту і технічног забеспечення моторотранспортних засобів і супутнього обладнання.</t>
  </si>
  <si>
    <t>50220000-3 Послуги з ремонту, технічного обслуговування залізничного транспорту і пов’язаного обладнання та супутні послуги</t>
  </si>
  <si>
    <t xml:space="preserve">50230000-6  Послуги з ремоту, технічного обслуговування 
дорожньої     інфраструктури;
</t>
  </si>
  <si>
    <t>50230000-6 Послуги з ремонту, технічного обслуговування дорожньої інфраструктури і пов’язаного обладнання та супутні послуги</t>
  </si>
  <si>
    <t>50310000-1 Технічне обслуговування і ремонт офісної техніки</t>
  </si>
  <si>
    <t>50310000-1- Технічне обслуговування і ремонт офісної техніки.</t>
  </si>
  <si>
    <t>50310000-1- Технічне обслуговування і ремонт офісної техніки.(власні кошти)</t>
  </si>
  <si>
    <t xml:space="preserve">50410000-2 Послуги з ремонту і технічного обслуговування вимірювальних , випробувальних і контрольних приладів (позачергова технічна перевірка  правильності  роботи засобу обліку (перевірка схем вмикання) у 3-ф. електроустановці  трансформаторного включення понад 1000 В за ініціативою  замовника, при роботі 3-х працівників.  </t>
  </si>
  <si>
    <t>50410000-2 Послуги з ремонту і технічного обслуговування вимірювальних, випробувальних і контрольних приладів</t>
  </si>
  <si>
    <t>50410000-2- послуги з ремонту, технічного обслуговування вимірювальних, випробувальних і контрольних приладів</t>
  </si>
  <si>
    <t>50410000-2- послуги з ремонту, технічного обслуговування вимірювальних, випробувальних і контрольних приладів. (послуги з ремонту і технічного обслуговування протипожежного обладнання).</t>
  </si>
  <si>
    <t>50420000-5 Послуги з ремонту і технічного обслуговування медичного та хірургічного обладнання</t>
  </si>
  <si>
    <t>50430000-8 Послуги з ремонтування і технічного обслуговування високоточного обладнання</t>
  </si>
  <si>
    <t>50530000-9 Послуги з ремонту і технічного обслуговування техніки</t>
  </si>
  <si>
    <t>50530000-9- Послуги з ремонту і технічного обслуговування техніки</t>
  </si>
  <si>
    <t>50710000-5 Послуги з ремонту і технічного обслуговування електричного і механічного устаткування будівель</t>
  </si>
  <si>
    <t>51</t>
  </si>
  <si>
    <t>51210000-7 Послуги зі встановлення вимірювального обладнання</t>
  </si>
  <si>
    <t>52</t>
  </si>
  <si>
    <t>53</t>
  </si>
  <si>
    <t>54</t>
  </si>
  <si>
    <t>55</t>
  </si>
  <si>
    <t>56</t>
  </si>
  <si>
    <t>57</t>
  </si>
  <si>
    <t>58</t>
  </si>
  <si>
    <t>5ПП</t>
  </si>
  <si>
    <t>6</t>
  </si>
  <si>
    <t>60180000-3 Прокат вантажних транспортних засобів із водієм для перевезення товарів</t>
  </si>
  <si>
    <t>61</t>
  </si>
  <si>
    <t>64</t>
  </si>
  <si>
    <t>65</t>
  </si>
  <si>
    <t>66510000-8 Страхові послуги</t>
  </si>
  <si>
    <t>67</t>
  </si>
  <si>
    <t>68</t>
  </si>
  <si>
    <t>69</t>
  </si>
  <si>
    <t>7</t>
  </si>
  <si>
    <t>7/3</t>
  </si>
  <si>
    <t>70</t>
  </si>
  <si>
    <t xml:space="preserve">71240000-2 Архітектурні інженерні та планувальні послуги (розробка проектно-кошторисної документації на об'єкт «Нове будівництво приміщення (диспетчерський пункт) за адресою : вул. Арх. Старова, навпроти будинку 6 в м.Миколаєві» </t>
  </si>
  <si>
    <t>71240000-2 Архітектурні, інженерні та планувальні послуги</t>
  </si>
  <si>
    <t>71320000-7 Послуги з інженерного проектування</t>
  </si>
  <si>
    <t>71320000-7- Послуги з інженерного проектування</t>
  </si>
  <si>
    <t>71630000-3 Послуги з технічного огляду та випробовувань</t>
  </si>
  <si>
    <t>71630000-3 Послуги з технічного огляду та випробувань (Експертне обстеження вантажопідіймального обладнання з повним технічним оглядом)</t>
  </si>
  <si>
    <t>71630000-3- Послуги з технічного огляду та випробувань.</t>
  </si>
  <si>
    <t>71630000-3- Послуги з технічного огляду та випробувань.(власні кошти).</t>
  </si>
  <si>
    <t>71900000-7 Лабораторні послуги</t>
  </si>
  <si>
    <t>72</t>
  </si>
  <si>
    <t>72250000-2 Послуги, пов’язані із системами та підтримкою</t>
  </si>
  <si>
    <t>72260000-5 Послуги, пов’язані з програмним забезпеченням</t>
  </si>
  <si>
    <t>75250000-3 Послуги пожежних і рятувальних служб</t>
  </si>
  <si>
    <t>76</t>
  </si>
  <si>
    <t>77</t>
  </si>
  <si>
    <t>79</t>
  </si>
  <si>
    <t>79990000-0 Різні послуги, пов’язані з діловою сферою</t>
  </si>
  <si>
    <t>79990000-0 Різні послуги, пов’язані з діловою сферою (Послуги з оформлення документів про освіту)</t>
  </si>
  <si>
    <t>8</t>
  </si>
  <si>
    <t>8/267</t>
  </si>
  <si>
    <t>80510000-2 Послуги з професійної підготовки спеціалістів</t>
  </si>
  <si>
    <t>84</t>
  </si>
  <si>
    <t>85</t>
  </si>
  <si>
    <t>85/13</t>
  </si>
  <si>
    <t>85140000 - 2 - Послуги у сфері охорони здоров'я.</t>
  </si>
  <si>
    <t>85140000 - 2 - Послуги у сфері охорони здоров'я.(власні кошти).</t>
  </si>
  <si>
    <t>85140000-2 Послуги у сфері охорони здоров’я різні</t>
  </si>
  <si>
    <t>86</t>
  </si>
  <si>
    <t>86/13</t>
  </si>
  <si>
    <t>8690-02-20-1</t>
  </si>
  <si>
    <t>87</t>
  </si>
  <si>
    <t>88</t>
  </si>
  <si>
    <t>89</t>
  </si>
  <si>
    <t>9</t>
  </si>
  <si>
    <t>90510000-5 Утилізація сміття а поводження зі сміттям (Послуги з захоронення побутових відходів)</t>
  </si>
  <si>
    <t>90510000-5 Утилізація сміття та поводження зі сміттям</t>
  </si>
  <si>
    <t>90510000-5 Утилізація/видалення сміття та поводження зі сміттям</t>
  </si>
  <si>
    <t>90510000-5- Утилізація сміття та поводження зі сміттям (вивезення твердих побутових відходів)</t>
  </si>
  <si>
    <t>90510000-5- Утилізація сміття та поводження зі сміттям (власні кошти).</t>
  </si>
  <si>
    <t>90510000-5- Утилізація сміття та поводження зі сміттям (послуги з захоронення побутових відходів ).</t>
  </si>
  <si>
    <t>90910000-9 Послуги з прибирання</t>
  </si>
  <si>
    <t>90920000-2 Послуги із санітарно-гігієнічної обробки приміщень</t>
  </si>
  <si>
    <t>92</t>
  </si>
  <si>
    <t>94</t>
  </si>
  <si>
    <t>95</t>
  </si>
  <si>
    <t>97</t>
  </si>
  <si>
    <t>ID контракту</t>
  </si>
  <si>
    <t>report.zakupki@prom.ua</t>
  </si>
  <si>
    <t>ЄВТУШЕНКО ОЛЬГА ОЛЕКСАНДРІВНА</t>
  </si>
  <si>
    <t>ЄДРПОУ переможця</t>
  </si>
  <si>
    <t>ЄРЕМЄЄВА НАТАЛІЯ ТИХОНІВНА</t>
  </si>
  <si>
    <t xml:space="preserve">Єврорубероїд Бікроеласт ЕКП-4,0 (або еквівалент); Мастика покрівельна МБГК </t>
  </si>
  <si>
    <t>ІНОЗЕМНЕ ПІДПРИЄМСТВО "АІС-МИКОЛАЇВ"</t>
  </si>
  <si>
    <t>Ідентифікатор закупівлі</t>
  </si>
  <si>
    <t xml:space="preserve">Інструменти для паяння м’яким і твердим припоєм та для зварювання, машини та устаткування для поверхневої термообробки і гарячого напилювання </t>
  </si>
  <si>
    <t>Інформаційна транспортна система "ІНФОТРАНС СД Н"</t>
  </si>
  <si>
    <t>Інформаційне обладнання  (Засіб КЗІ «SecureToken-337 K» (експ.висн. ДССЗЗІ України №04/03/02-800 від 14.10.2017 р.) з ліцензією на ПП «Надійний засіб ЕЦП CryptoLibV2»).</t>
  </si>
  <si>
    <t>Інформаційні системи</t>
  </si>
  <si>
    <t>АДЕСЕМ</t>
  </si>
  <si>
    <t>АДС СЕРВІС</t>
  </si>
  <si>
    <t>АКМ Алютен 3102 ПЕ 3х1250х5800 мм</t>
  </si>
  <si>
    <t>АКЦІОНЕРНЕ ТОВАРИСТВО "МИКОЛАЇВОБЛЕНЕРГО"</t>
  </si>
  <si>
    <t>АНІЧКІН ВАЛЕРІЙ ТИМОФІЙОВИЧ</t>
  </si>
  <si>
    <t>Абразивні вироби</t>
  </si>
  <si>
    <t>Автоскло розсувне бокового вікна салону праве, зовнішній розмір блоку 1495*382 мм ; Автоскло розсувне бокового вікна салону ліве, зовнішній розмір блоку 1455*382 мм ; Автоскло бокового вікна салону нижнє праве  розмір 1495*763 мм; Автоскло бокового вікна салону нижнє ліве розмір 1455*763 мм</t>
  </si>
  <si>
    <t>Автошина  320-508R  И-332 (12.00R20) 456/453 D  тролейбус  ПМЗ; Автошина  275/70 R 22,5  148/145 М366  тролейбус  МАЗ-103; Автошина   11 R 22.5  тролейбус  Skoda  14Tr; Автошина тракторна 11.2 / 20; Автошина тракторна 16.5 / 70-18; Автошина тракторна 15.5   R 38; Автошина тракторна 7.50  -  20 (220-508) МИ-13; Автошина  ГАЗ-52 7.50  -  20 (220-508) МИ-13; Автошина  ГАЗ-53 8.25  - R  20 (240 R -508); Автошина  175/70 R13; Автошина  195/65 R15</t>
  </si>
  <si>
    <t xml:space="preserve">Агрохімічна продукція (дезінфекційний засіб «МаксДез»)  </t>
  </si>
  <si>
    <t>Аксесуари для одягу</t>
  </si>
  <si>
    <t xml:space="preserve">Апаратура для передавання радіосигналу з приймальним пристроєм </t>
  </si>
  <si>
    <t>Аппаратура для передавання радіосигналу з приймальним пристроєм (Камери відеоспостереження)</t>
  </si>
  <si>
    <t>Архітектурні інженерні  та планувальні послуги (розробка проектно-кошторисної документації на об'єкт «Нове будівництво приміщення (диспетчерський пункт) за адресою : вул. Арх. Старова, навпроти будинку 6 в м.Миколаєві»</t>
  </si>
  <si>
    <t>БІЛОУСОВ ІГОР ОЛЕКСАНДРОВИЧ</t>
  </si>
  <si>
    <t>БАРБАРОШ ОЛЕГ ВАСИЛЬОВИЧ</t>
  </si>
  <si>
    <t>БАСОВ-ПОЛТАВЦЕВ СЕРГІЙ ЛЕОНІДОВИЧ</t>
  </si>
  <si>
    <t>БОБРОВА МАРИНА ПЕТРІВНА</t>
  </si>
  <si>
    <t>БОДНЯ АНДРІЙ ВОЛОДИМИРОВИЧ</t>
  </si>
  <si>
    <t>БОРЕНКО ВЛАДИСЛАВ ВОЛОДИМИРОВИЧ</t>
  </si>
  <si>
    <t>Бак розширювальний ELBI ER-24 CE A102L27; Насос циркуляції WILLO WRS 25/8-180WL; Кран ППР 32 Termo Alliance; Група безпеки котла 1* SD 291; Муфта із зовнішнім різьбленням FADO 32*1” PPM26; Муфта із внутрішнім різьбленням FADO 32*1” PPM16; Муфта МРН 20*1/2 Termo Alliance; Трійник 20*; Муфта редукційна FADO 32*20 РМR02; Кран кульовий для гарячої води FADO 20// PKG01; Трійник 32*20*32 Termo Alliance; Кран ППР радіаторний кутовий 20*1/2 Termo Alliance; Трійник FADO 32 РРТ03; Кут 90*32 Termo Alliance; Муфта 32” Termo Alliance; Кріплення для ППР труб FADO 32 РРК03; Труба PN 32 (ТА) КОМПОЗИТ Termo Alliance; Труба PN 20 (ТА) КОМПОЗИТ Termo Alliance; Кут 90*20 Termo Alliance; Муфта 20” Termo Alliance; Шланг для води ½ 60 см ВВ (нерж. В опллетенні силікон) SD FORTE; Футорка ½ внутр * ¾ зовніш SD FORTE; Тени Kospel ekco.L 15 квт. 779; Радіатор стальний Hi-Term 500*22*1000 бок РК225001100; Радіатор стальний Hi-Term 500*22*800 бок РК22500800; Радіатор стальний Hi-Term 500*22*600 бок РК22500800; Тен на котел «ТИТАН»-4,5 КвТ; Насос 25/6 180 * Hazer; Згін американка 1” SD FORTE пряма SD FORTE; Футорка 1” зовн.*11/2” зовн. Посилена Lex-line (короб-250) К.0722-В; Бак розш. для системи опалення 6 л плоский OPTIMA; Кран кульовий SD FORTE PN40 ½ ВН SD; Радіатор стальний Hi-Term 500*22*1600 бок РК225001600; Кран радіаторний FADO 20* 1/2” кутовий PRK01 (KAT); Радіатор стальний Hi-Term 500*22*1200 бок РК2250011200; Трійник редукційний FADO 32*20*32 PTR02; Муфта FADO 32/ РРМ03</t>
  </si>
  <si>
    <t>Бензин А-92; Бензин А-95; газ автомобільний скраплений; дизельне паливо</t>
  </si>
  <si>
    <t xml:space="preserve">Бланки у кількості та за номенклатурою згідно специфікації до договору </t>
  </si>
  <si>
    <t>Бланкова документація, журнали, таблички.</t>
  </si>
  <si>
    <t>Будівельні прути , стрижні, дроти та профілі.</t>
  </si>
  <si>
    <t xml:space="preserve">Будівельні прути, стрижні, дроти та профілі (круги, арматура, шестигранники, кутики, труби профільні, швелер, листи) 
у кількості та за номенклатурою, згідно Додатку 2 до тендерної документації </t>
  </si>
  <si>
    <t>Будівельні прути, стрижні, дроти та профілі (прокат сталевий, круги, арматура)</t>
  </si>
  <si>
    <t>ВОЙТЕНКО ЄВГЕНІЙ ВОЛОДИМИРОВИЧ</t>
  </si>
  <si>
    <t>ВОЙТЕНКО АНАТОЛІЙ АНАТОЛІЙОВИЧ</t>
  </si>
  <si>
    <t>ВУГІЛЛЯ-МИКОЛАЇВ</t>
  </si>
  <si>
    <t xml:space="preserve">Вальниці- за  кодом  ДК 021:2015 44440000-6 
(Підшипники для рухомого складу)
</t>
  </si>
  <si>
    <t>Вентиляційне обладнання (термоблоки ТВТ)</t>
  </si>
  <si>
    <t xml:space="preserve">Вентиляційне обладнання (термоблоки ТВТ) </t>
  </si>
  <si>
    <t>Вимикач автоматичний швидкодіючий  постійного струму    ВБ-11/1-400/6-У1    з дистанційним керуванням ; Контактор    КТК  3-20 УХЛ 2   24   (2з)  24В</t>
  </si>
  <si>
    <t xml:space="preserve">Внутрішній блок кондиціонеру; Зовнішній  блок кондиціонеру; Труба мідна 3/8" 0,81; Труба мідна 1/4" 0,76; Кронштейн для кріплення блока КК (2 шт); Монтаж кондиціонеру </t>
  </si>
  <si>
    <t>Внутрішній блок кондиціонеру; Зовнішній блок кондиціонеру Leberg; Труба мідна 3/8" (15 м) Німеччина; Труба мідна 1/4"  0,76  Halcor (45 м); Кронштейн для кріплення блока КК</t>
  </si>
  <si>
    <t>Вода питна</t>
  </si>
  <si>
    <t>Вода питна в балонах ємністю 20 л</t>
  </si>
  <si>
    <t xml:space="preserve">Водопровідні та санітарно-технічні роботи </t>
  </si>
  <si>
    <t xml:space="preserve">Водопровідні та санітарно-технічні роботи 	</t>
  </si>
  <si>
    <t xml:space="preserve">Встановлення вимірювального обладнання </t>
  </si>
  <si>
    <t>Відкриті торги</t>
  </si>
  <si>
    <t>Відкриті торги з публікацією англійською мовою</t>
  </si>
  <si>
    <t xml:space="preserve">Вікна  металопластикові з двома стулками в комплекті із супутніми матеріалами </t>
  </si>
  <si>
    <t>ГАВОВ ЛЕРІ ФЕОФІЛАКТОВИЧ</t>
  </si>
  <si>
    <t>Газета "Праця і зарплата" 2 півріччя</t>
  </si>
  <si>
    <t>Газети</t>
  </si>
  <si>
    <t>Газети (підписка на журнал "Радник у сфері публічних закупівель")</t>
  </si>
  <si>
    <t>Гіпсокартон PLATO Format 2500*1200*12.5 (3 м2); Гіпсокартон PLATO 2500*1200*9,5 (3 м2); Плита пінополістирольна EPS-30 1000*1000*100 мм (0,1) (9кг/м3); Плита пінополістирольна EPS-30 1000*1000*50 мм (0,05) (9кг/м3); Плита Filigran  600*600*13 AMF</t>
  </si>
  <si>
    <t>ДІХТІЄВСЬКА ОЛЬГА МИХАЙЛІВНА</t>
  </si>
  <si>
    <t>ДЕГУСАР ЮРІЙ ОЛЕКСАНДРОВИЧ</t>
  </si>
  <si>
    <t>ДЕМ'ЯНОВ СЕРГІЙ ВАСИЛЬОВИЧ</t>
  </si>
  <si>
    <t>ДЕРЖАВНА УСТАНОВА "МИКОЛАЇВСЬКИЙ ОБЛАСНИЙ ЛАБОРАТОРНИЙ ЦЕНТР МІНІСТЕРСТВА ОХОРОНИ ЗДОРОВ'Я УКРАЇНИ"</t>
  </si>
  <si>
    <t>ДЕРЖАВНЕ ПІДПРИЄМСТВО "КИЇВСЬКА ДЕРЖАВНА РЕГІОНАЛЬНА ТЕХНІЧНА ІНСПЕКЦІЯ МІСЬКОГО ЕЛЕКТРОТРАНСПОРТУ"</t>
  </si>
  <si>
    <t>ДЕРЖАВНЕ ПІДПРИЄМСТВО "МИКОЛАЇВСЬКИЙ НАУКОВО-ВИРОБНИЧИЙ ЦЕНТР СТАНДАРТИЗАЦІЇ, МЕТРОЛОГІЇ ТА СЕРТИФІКАЦІЇ"</t>
  </si>
  <si>
    <t>ДК 021:2015  50710000-5 Послуги з ремонту і технічного обслуговування  електричного і механічного устаткування будівель (технічне обслуговування (повірка) та ремонт манометрів).</t>
  </si>
  <si>
    <t>ДК 021:2015  72260000-5 Послуги, пов’язані з програмним забезпеченням</t>
  </si>
  <si>
    <t>ДК 021:2015 - 09310000-5 – Електрична енергія (Електрична енергія)</t>
  </si>
  <si>
    <t>ДК 021:2015 - 09310000-5 – Електрична енергія (Електрична енергія), у кількості 13 830 тис. кВт час.</t>
  </si>
  <si>
    <t xml:space="preserve">ДК 021:2015 09130000-9 Нафта і дистиляти 
</t>
  </si>
  <si>
    <t>ДК 021:2015 09130000-9 Нафта і дистиляти (Бензин А-92- Євро5-Е5 або Е7 або Е10; ДП -З, ДП -Л- Євро5-В0 або В5 або В7; Бензин А-95- Євро5-Е5 або Е7 або Е10; Газ автомобільний скраплений по талонах або скретч-картках)</t>
  </si>
  <si>
    <t>ДК 021:2015 09210000-4 Мастильні засоби</t>
  </si>
  <si>
    <t>ДК 021:2015 14210000-6 Гравій, пісок, щебінь і наповнювачі</t>
  </si>
  <si>
    <t>ДК 021:2015 30190000-7 Офісне устаткування та приладдя різне</t>
  </si>
  <si>
    <t>ДК 021:2015 31650000-7 Ізоляційне приладдя</t>
  </si>
  <si>
    <t xml:space="preserve">ДК 021:2015 32320000-2 Телевізійне й аудіовізуальне обладнання </t>
  </si>
  <si>
    <t>ДК 021:2015 48210000-3 Пакети мережевого програмного забезпечення</t>
  </si>
  <si>
    <t>ДК 021:2015 50220000-3 Послуги з ремонту, технічного обслуговування залізничного транспорту і пов’язаного обладнання та супутні послуги</t>
  </si>
  <si>
    <t>ДК 021:2015 50410000-2 Послуги з ремонту і технічного обслуговування вимірювальних, випробувальних і контрольних приладів</t>
  </si>
  <si>
    <t xml:space="preserve">ДК 021:2015 – 42510000-4 Теплообмінники, кондиціонери повітря, холодильне обладнання та фільтрувальні пристрої </t>
  </si>
  <si>
    <t>ДК 021:2015: 34350000-5 — Шини для транспортних засобів великої та малої тоннажності  ( шини гумові пневматичні нові )</t>
  </si>
  <si>
    <t xml:space="preserve">ДК 021:2015: 34350000-5 — Шини для транспортних засобів великої та малої тоннажності  ( шини гумові пневматичні нові ) </t>
  </si>
  <si>
    <t>ДК 021:2015: 44310000-6-Вироби з дроту (Дріт контактний МФ-85)</t>
  </si>
  <si>
    <t>ДК 201:2015 32580000-2 Інформаційне обладнання (Панель керування МППУ)</t>
  </si>
  <si>
    <t>ДП "Миколаївстандартметрологія"</t>
  </si>
  <si>
    <t>ДП Одеський регіональний центр стандартизації, метрології та сертифікації"</t>
  </si>
  <si>
    <t>ДУНАЙ АНАТОЛІЙ ІВАНОВИЧ</t>
  </si>
  <si>
    <t>Дата закінчення договору:</t>
  </si>
  <si>
    <t>Дата підписання договору:</t>
  </si>
  <si>
    <t>Дезійфекційний засіб «МаксДЕЗ», флакон 1 л</t>
  </si>
  <si>
    <t xml:space="preserve">Дератизація та дезинсекція </t>
  </si>
  <si>
    <t>Деревина</t>
  </si>
  <si>
    <t>Допорогова закупівля</t>
  </si>
  <si>
    <t xml:space="preserve">Дросель реактивний SDMC*103- D2 ; Блок живлення SDMC* 103-600/28-6; Блок живлення SDMC* 103-600/380 </t>
  </si>
  <si>
    <t>Діфок</t>
  </si>
  <si>
    <t>ЕК "ЕНОЛЛ</t>
  </si>
  <si>
    <t>ЕЛСІЕЛ-ТРАНС</t>
  </si>
  <si>
    <t>Експертне обстеження вантажопідіймального обладнання з повним технічним оглядом</t>
  </si>
  <si>
    <t>Електрична апаратура для комутування  та захисту  електричних кіл</t>
  </si>
  <si>
    <t>Електрична енергія</t>
  </si>
  <si>
    <t>Електричне обладнання для двигунів і транспортних засобів за кодом ДК 021:2015 – 31610000-5 (мікропроцесорна система управління тяговим двигуном двуосного тролейбуса  постійного струму моделі SDMC  103-02.03,  перетворювач  напруги контактної мережі в 3 х 380 В SDMC  103-600/380, дросель реактивний SDMC – 103- D1 Scoda для приводу тролейбуса(дросель маленький), дросель реактивний SDMC – 103- D2 Scoda для приводу тролейбуса.</t>
  </si>
  <si>
    <t>Електроди УОНИ -13/55 (5 кг/уп) Ø 4; Електроди АНО - 36 (5 кг/уп) Ø 3; Електроди АНО - 36 (1 кг/уп) Ø 2; Електроди ЦНИИН-4 (5 кг/уп) Ø 4; Дріт зварювальний Ø 0,8 (5кг/уп); Дріт зварювальний Ø 1 (5кг/уп); Дріт зварювальний Ø 1,2 (5кг/уп)</t>
  </si>
  <si>
    <t>Електромеханічне обладннання (щічки головки струмоприймача, вставки чавунні, вкладиші головки струмоприймача, п'яти головки струмоприймача, ремкомплекти головки струмоприймача)</t>
  </si>
  <si>
    <t>Електронна система керування тяговим двигуном постійного струму с подальшим збудженням для трамвайних вагонів типу  SDMS103-01-01*</t>
  </si>
  <si>
    <t xml:space="preserve">Епоксидна смола для грунтування бетонних підстав Sikadur-53 ; Сухий фракційний кварцовий пісок Quartz sand 0.8-1.2 ;  Праймер для бетонних та сталевих підстав Icosit KC 330 Primer ;  Клей для монтажу бетонних вкладишів (блочків) Icosit KC 330 FK NEU ; Еластична поліуретанова маса для фіксації рейок Icosit KC 340/45 ; Клей для підливочної суміші Sika Mono Top 910; Високоміцна ремонтна суміш на цементній основі Sika Mono Top 452 </t>
  </si>
  <si>
    <t>ЖУРАВЛЬОВ ЮРІЙ ПЕТРОВИЧ</t>
  </si>
  <si>
    <t>Жилет</t>
  </si>
  <si>
    <t>Журнал "Радник у сфері публічних закупівель" вересень  2020 року ; Журнал "Радник у сфері публічних закупівель" жовтень 2020 року; Журнал "Радник у сфері публічних закупівель" листопад  2020 року ; Журнал "Радник у сфері публічних закупівель" грудень 2020 року</t>
  </si>
  <si>
    <t>ЗАСЕДКІН ОЛЕКСАНДР ПЕТРОВИЧ</t>
  </si>
  <si>
    <t>Закупівля без використання електронної системи</t>
  </si>
  <si>
    <t>Залізничне обладнання (рейки типу Р-50(збереження), замикач пера стрілки трамвайної колії, шпала (тип 2А), втулка ізоляційна, болт закладний в зборі з гайкою, костиль колійний (16х16х165), накладка ТВ, накладка Р-50, підкладка Д-65 (збереження), підкладка Д-50 (збереження), прокладка гумові Д-65, прокладка гумові Д-50, шайба гровера 2-х виткова, болт стиковий М2 с/т, гайка М24, шайба плоска, перо стрілки для трамвайної колії 1524 мм права R30м, перо стрілки для трамвайної колії 1524 мм ліва R30м, клема ЛК 1, клема ЛК 4, клема ЛК 5) у кількості та за номенклатурою згідно специфікації до договору</t>
  </si>
  <si>
    <t xml:space="preserve">Залізничне обладнання за кодом ДК 021:2015 – 34940000-8
(рейки типу Р-50, рейки типу Т-62, шпали дерев’яні тип 2-А, прокладки гумові ЦП код КБ-50, болти стикові в зборі М24 (гайка+гровер), костилі колінні (16х16х165), накладки Р-50 в комплекті, підкладки Д-65, підкладки Д-50, прокладки гумові ПРМЦ, шайби гровера 2х виткові)
</t>
  </si>
  <si>
    <t>Затискач   струновий  ЗС-1  ; Затискач   кінцевий  клиновий   ЗКК-1; Затискач    2-х гвинтовий ЗПВ-2; Затискач   2-х гвинтовий ЗПВ-1 ; Затискач    з’єднувальний   Б-12-1; Підвіс двохплечовий    ПДП-1; Автоматична тролейбусна стрілка    ТСА-16; Східна  тролейбусна  стрілка    СТС-16; Перетин  трамвай – тролейбус ; Перетин  УТП; Ізолятор трамвайний секційний   ІСТ-1; Секційний ізолятор  тролейбусний  СІ-8 ДК; Секційний ізолятор тролейбусний   СІ-6 ДК; Тримач  кривий   КД-5-1; Ізолятор  подвійний електротехнічний розтяжний   2ІЕ  10-320; Ізолятор  електротехнічний розтяжний   ІЕ  10; Затискач  живлячий  ЗПТ-1; Вузол  кріплення  кронштейна  до  опори   ВКО-1; Вузол підвіски поздовжньо-несучого  тросу до кронштейну   ВПК-1; Затискач  з’єднувальний   КС-047-3; Затискач  фіксуючий   КС-049-7; Затискач  живлячий  трамвайний   (КС-053); Ізолятор підвісний    ІП-2 ; Ізолятор ІКП-1; Підвісна  пара з затискачем підвісним 2-х гвинтовим латунь; Стрілочна хрестовина  К-20-1; Східна стрілочна хрестовина  СК-1; Затискач для тросу 3Т-1; Затискач стиковий тролейбусний  обхоплюючого типу; Клема вхідна стикова  з кронштейном  КВС-2; Габаритна планка ГП-1</t>
  </si>
  <si>
    <t>Звіт створено 6 жовтня о 13:57 з використанням http://zakupki.prom.ua</t>
  </si>
  <si>
    <t>КАЛИНЮК ОЛЕНА ОЛЕКСАНДРІВНА</t>
  </si>
  <si>
    <t>КАЦКО ЛЮДМИЛА БРОНІСЛАВІВНА</t>
  </si>
  <si>
    <t>КЛІМАТ-СЕРВІС-МИКОЛАЇВ</t>
  </si>
  <si>
    <t>КОМУНАЛЬНЕ ПІДПРИЄМСТВО "ЕКСПЛУАТАЦІЙНЕ ЛІНІЙНЕ УПРАВЛІННЯ АВТОДОРІГ"</t>
  </si>
  <si>
    <t>КОМУНАЛЬНЕ ПІДПРИЄМСТВО "МІСЬКИЙ ІНФОРМАЦІЙНО-ОБЧИСЛЮВАЛЬНИЙ ЦЕНТР"</t>
  </si>
  <si>
    <t>КОМУНАЛЬНЕ ПІДПРИЄМСТВО "МИКОЛАЇВКОМУНТРАНС"</t>
  </si>
  <si>
    <t>КОМУНАЛЬНЕ ПІДПРИЄМСТВО МИКОЛАЇВСЬКОЇ МІСЬКОЇ РАДИ "МИКОЛАЇВЕЛЕКТРОТРАНС"</t>
  </si>
  <si>
    <t>КОРОЛЬОВ ОЛЕКСІЙ СЕРГІЙОВИЧ</t>
  </si>
  <si>
    <t>КОЧАРЯН ГАРІК ВІЛЕНОВИЧ</t>
  </si>
  <si>
    <t>Кабель АСБ 1х800 мм2; Кабель АА Бл-10 3х150 мм2</t>
  </si>
  <si>
    <t>Кабель АСБ, АА</t>
  </si>
  <si>
    <t>Камера відеоспостереження Нік Vision DS-2CD2043G0I (4.0)</t>
  </si>
  <si>
    <t>Камери відеоспостереження НІК Vision DS-2CD2043 G0I</t>
  </si>
  <si>
    <t xml:space="preserve">Килимові покриття, килимки та килими </t>
  </si>
  <si>
    <t>Клей-цемент ВСХ-33; Клей-цемент ВСХ-40; Утеплювач Ізовер 50 мм; Газобетон 100х200х600; Газобетон 200х300х600; Клей-цемент (для газобетона); Цемент М-400</t>
  </si>
  <si>
    <t>Код CPV</t>
  </si>
  <si>
    <t>Комлект LED-освітлення  18LED-24VDC-1ST (в салон)
Колір  світла 4500К, світловий потік 1240Lm (555*135*45); Комлект LED-освітлення  6LED-VDC-8ST
(підсвітка дверей та кабіни водія, зовнішнє кріплення).
Колір  світла 4500К, світловий потік 400Lm (190*100*20)</t>
  </si>
  <si>
    <t>Комплект дверей вхідних до трамваю КТМ-5МЗ-ВП (передні); Комплект дверей вхідних до трамваю КТМ-5МЗ-ВП (середні); Комплект дверей вхідних до трамваю КТМ-5МЗ-ВП (задні)</t>
  </si>
  <si>
    <t>Компресорне обладнання- за кодом ДК 021:2015 42120000-6 Насоси та компресори (поршнева головка, комплект прокладок блоку  LB50, колінвал LB50, шатун боковий LB50, поршень LB50, комплект поршневих кілець ф80 LB50,пластина клапана велика LB50 LB75, пластина клапана мала LB50 LB75, плита клапана в комплекті LB50 LB75, фільтр повітряний LТ55-75, поршнева головка LB30,комплект прокладок блоку LB30, колінвал LB30, шатун боковий LB30, поршень ф65 LB30 LB40, комплект поршневих кілець LB30 LB40, плита клапана в комплекті LB30 LB40)</t>
  </si>
  <si>
    <t>Конструкційні матеріали (цемент, клей-цемент, газобетон, утеплювач)</t>
  </si>
  <si>
    <t>Конструкційні матеріали різні (полікарбонат, L-профіль, термошайба, саморіз покрівельний)</t>
  </si>
  <si>
    <t>Конструкційні матеріали єврорубероїд Бікроеласт ЕКП-4,0 (або еквівалент), мастика покрівельна МБКГ</t>
  </si>
  <si>
    <t xml:space="preserve">Конструкції та їх частини </t>
  </si>
  <si>
    <t>Контактор     КПП-114 (250 А; 550 В)  з  катушкою керування-24 В; Контактор     КПП-113(160 А; 750 В)  з  катушкою керування-24 В; Контактор     КТК 1-10(80 А; 220 В)  з  катушкою керування-24 В; Контактор     МК 3-10 (24В,  100А)  з  катушкою керування 24 В; Контактор  КПД  110Е  ( КТК 0-10) (20 А; 550 В)  з  катушкою керування-24 В; Контактор     SA 781 -  2/1(220 А; 750 В)  з  катушкою керування-24 В; Контактор     SG  15 – 2/1(350  А; 750 В)  з  катушкою керування-24 В; Реле    РЕВ - 816 (10 А; 24 В,); Реле    РЕВ – 812 ( 10 А, 24 В); Електромагнітне  реле  RD  11     7А     24 В   2/2, загального  користування; Реле    РЕВ - 816 (10 А; 220 В); Реле    РЕВ – 812 (10 А; 220 В)</t>
  </si>
  <si>
    <t>Костюм охорона; Сорочка охорона</t>
  </si>
  <si>
    <t xml:space="preserve">Круг 24 мм S235 JR; Прокат сталевий круглий Ø 6,5 мм; Круг 6,5 мм 1КП; Прокат сталевий круглий Ø 6,5 (А240); Арматура 20 мм А 500 С </t>
  </si>
  <si>
    <t>Круг відрізний  Ø 125 – 1,6-22 (25 шт./уп.); Круг відрізний Ø 150 – 1,6-22 (25 шт./уп.); Круг відрізний Ø 180 – 1,6-22 (25 шт./уп.); Круг відрізний Ø 230 – 2,0-22 (25 шт./уп.); Круг відрізний Ø 300 – 2,8-32 (5 шт./уп.); Круг зачисний  Ø 125 – 6,0 (10 шт./уп.); Круг зачисний  Ø 150 – 6,0 (10 шт./уп.); Круг зачисний  Ø 230 – 6,0 (10 шт./уп.)</t>
  </si>
  <si>
    <t xml:space="preserve">Лабораторні послуги </t>
  </si>
  <si>
    <t>Лампа 220В, 25Вт. Е27; Лампа 220В, 60Вт. Е27; Лампа 220В, 75Вт. Е27; Лампа 220В, 100Вт. Е27; Лампа 220В, 200Вт. Е40; Лампа 220В, 300Вт. Е40; Лампа 24В, 5Вт.; Лампа 24В, 21-3Вт.; Лампа 24В, 21+5Вт.; Лампа 120В, 60 Вт. (або 100 Вт); Лампа 36В, 40 Вт. (або 60 Вт); Лампа 24+1 (26В, 0,12А); Лампа фарна АКГ 24-75+70 Р43t Н4 (в вусиками); Лампа фарна АКГ 24-75+70 Р45t Н4 (без вусиків); Лампа фарна LB 18 W; Лампа фарна LB 36 W; Світлодіодна лампа 10 Вт 4000К; Прожектор  1*10 W 4000К; Прожектор  1*30 W 4000К; Прожектор  1*50 W 4000К; Світлодіодна стрічка DJ240-24V-10mm (Кольорова температура 6000К) або еквівалент</t>
  </si>
  <si>
    <t>Лист х/к 1,0х1250х2500,08 КП; Лист х/к 1,2х1250х2500,08 КП; Лист х/к 1,5х1250х2500,08 КП; Лист сталевий 2,0мм (1,25х2,5); Труба профільна 20х20х2; Труба проф. 40х20х2; Труба проф. 30х30х2; Труба проф. 40х40х2; Прокат сталевий г/к кругл. ф8; Круг 10 мм, ЗПС; Круг 12 мм, ЗПС, СП, А240; Прокат сталевий г/к кругл. ф14 мм, ст; Прокат сталевий г/к кругл. ф16; Круг 20мм 235JR; Круг 24мм S235JR; Круг 26мм S235JR; Круг діам.30; Круг 36мм ст.3СП; Кутик 40х40з3 мм ст 3пс/7216/</t>
  </si>
  <si>
    <t>Лист х/к 1,2х1250х2500 08КП; Лист х/к 1,5х1250х2500 08КП; Лист сталевий 2,0 мм (1,25х2,5); Лист г/к 3,0х1250х2500 3КП</t>
  </si>
  <si>
    <t>Ліс будівельний 150х50 L4500; Ліс будівельний 150х30 L4500</t>
  </si>
  <si>
    <t>Лічильник 1ф МТХ 1А10 DF 2LO-PD4; Щит ЩУ-1/1 антивандальний; Автомат вимикач ВА-47-29 1р. 40А; Автомат вимикач ВА-47-60 1р. 50А; Автомат вимикач ВА-47-29 1р. 10А; Автомат вимикач ВА-47-29 1р. 16А; Автомат вимикач ВА-47-29 1р. 25А; Реле напруги РН-140; Обмежувач U ОПС 1-В 3р; ПЗВ+а/в АД12S 2р 40/0.1; Короб 25х25; Лічільник 1ф МТХ 1G10 DH 2L2-OGD4; Щит ЩУ-1/1 антивандальний; Автомат вимикач ВА-47-100 1р. 40А; Автомат вимикач ВА-47-60 1р. 40А; Обмежувач U ОПС 1-В 2р; Бокс КМПн 2/2; Лічільник 3ф МТХ 3G 30 DH 4L1-DOG4; Бокс  ЩРН-П-12</t>
  </si>
  <si>
    <t>МАЛЕ ПРИВАТНЕ ПІДПРИЄМСТВО "СТАРТ"</t>
  </si>
  <si>
    <t>МБ-2023</t>
  </si>
  <si>
    <t>МБ-2024</t>
  </si>
  <si>
    <t>МЕТАЛЗБУТ</t>
  </si>
  <si>
    <t>Масло вазелінове машинне; 40 901 Poliart нитки; 40 6694 Poliart нитки; Шпуля  SERUBA G302 збільш.; GROZ-BECKERT 135x17/DPx17; GROZ-BECKERT 135x17/DPx17; Bruse BRS-3216TE-A04/435; B27/81X1/DCX27/DCX1 110; DCX1 100 SES 6120-01 голки</t>
  </si>
  <si>
    <t>Мастики, шпаклівки, замазки та розчинники (штукатурка, шпаклівка фінішна)</t>
  </si>
  <si>
    <t>Машини для виробництва текстильних виробів</t>
  </si>
  <si>
    <t xml:space="preserve">Металопрофіль кровлі Т-40 (0,6-0,7 мм) 4800*1140 мм; Лист (0,5 мм)    2000*1250 мм; Металочерепиця (0,5 мм) (т/коричневий) 3500*1195 мм; Коньок (0,5 мм) (т/коричневий) L=310 мм  </t>
  </si>
  <si>
    <t>Механічні запасні частини, крім двигунів і частин двигунів у кількості та за номенклатурою згідно специфікації до договору</t>
  </si>
  <si>
    <t>Миколаївська філія ТОВ "УКРАВТОЗАПЧАСТИНА"</t>
  </si>
  <si>
    <t>Миколаївська філія ТОВ"УКРАВТОЗАПЧАСТИНА"</t>
  </si>
  <si>
    <t xml:space="preserve">Мобільний телефон NOKIA 106 Dual SIM (gray) TA-1 </t>
  </si>
  <si>
    <t xml:space="preserve">Мобільні тедефони </t>
  </si>
  <si>
    <t>Мобільні телефони NOKIA 106 Dual SIM (gray) TA-1</t>
  </si>
  <si>
    <t>НЕСТЕРЕНКО ОКСАНА АНАТОЛІЇВНА</t>
  </si>
  <si>
    <t>Навчання у сфері здійснення держаних/публічних закупівель та послуги з гарантуванням безоплатного консультування до наступних змін у з-аконодавстві в сфері  державних/публічних закупівель  (навчання 2х осіб замовника)</t>
  </si>
  <si>
    <t>Нафта і дистиляти</t>
  </si>
  <si>
    <t>Нафта і дистиляти (Бензин А-92 (Євро 5), АЗС«БРСМ-Нафта», талон)</t>
  </si>
  <si>
    <t>Нафта і дистиляти (ДП (Євро 5), АЗС«БРСМ-Нафта», талон)</t>
  </si>
  <si>
    <t>Номер договору</t>
  </si>
  <si>
    <t xml:space="preserve">ОБЛАСНЕ КОМУНАЛЬНЕ ПІДПРИЄМСТВО "МИКОЛАЇВОБЛТЕПЛОЕНЕРГО" </t>
  </si>
  <si>
    <t>ООО "Торговый Дом "ПК Индустрия"</t>
  </si>
  <si>
    <t>ОСТРОВЕРХОВ ДМИТРО ВАЛЕРІЙОВИЧ</t>
  </si>
  <si>
    <t>Общество с ограниченной ответственностью "УКРЭКОПРОДУКТ"</t>
  </si>
  <si>
    <t>Опори  СК 120-17</t>
  </si>
  <si>
    <t>ПНЕВМАТИК ТРЕЙД</t>
  </si>
  <si>
    <t>ПОГОЖИХ МИХАЙЛО ОЛЕКСАНДРОВИЧ</t>
  </si>
  <si>
    <t>ПП "Светолюкс-Николаев"</t>
  </si>
  <si>
    <t>ПП "УКРРОСПОСТАВКА"</t>
  </si>
  <si>
    <t>ПРИВАТНЕ АКЦІОНЕРНЕ ТОВАРИСТВО "ІНСТИТУТ ІНФОРМАЦІЙНИХ ТЕХНОЛОГІЙ"</t>
  </si>
  <si>
    <t>ПРИВАТНЕ АКЦІОНЕРНЕ ТОВАРИСТВО "АРТСЕРВІС"</t>
  </si>
  <si>
    <t>ПРИВАТНЕ АКЦІОНЕРНЕ ТОВАРИСТВО "УКРАЇНСЬКА ПОЖЕЖНО-СТРАХОВА КОМПАНІЯ"</t>
  </si>
  <si>
    <t>ПРИВАТНЕ ПІДПРИЄМСТВО "АВТОАРМАТУРА"</t>
  </si>
  <si>
    <t>ПРИВАТНЕ ПІДПРИЄМСТВО "АСТРА-ЛАЙФ"</t>
  </si>
  <si>
    <t>ПРИВАТНЕ ПІДПРИЄМСТВО "МЕДИЦИНА ДЛЯ ВАС"</t>
  </si>
  <si>
    <t>ПРИВАТНЕ ПІДПРИЄМСТВО "МОЛ КОМ"</t>
  </si>
  <si>
    <t>ПРИВАТНЕ ПІДПРИЄМСТВО "ТОРГОВА КОМПАНІЯ "ЮЖНАЯ КАРТА"</t>
  </si>
  <si>
    <t>ПРОНІНА ГАЛИНА ЯРОСЛАВІВНА</t>
  </si>
  <si>
    <t>ПУБЛІЧНЕ АКЦІОНЕРНЕ ТОВАРИСТВО "НАЦІОНАЛЬНА АКЦІОНЕРНА СТРАХОВА КОМПАНІЯ "ОРАНТА"</t>
  </si>
  <si>
    <t>Пакети програмного забезпечення для мереж Інтернет та Інтранет</t>
  </si>
  <si>
    <t>Пакети програмного забезпечення для мереж Інтернет та Інтранет (Avast Business Antivirus Pro Plus, Ліцензія,3 роки)</t>
  </si>
  <si>
    <t>Перевірка та випробування  пожежних гідрантів; Перевірка та випробування  пожежних  кранів; Обслуговування та випробування пожежних рукавів; робота спецагрегата; пробіг</t>
  </si>
  <si>
    <t>Переговорна процедура</t>
  </si>
  <si>
    <t>Переговорна процедура, скорочена</t>
  </si>
  <si>
    <t>Переднє інформаційне табло,  для  відображення номера маршруту, початкової  і  кінцевої зупинки маршруту.   Розширення 96х16 
(не більше 982х186х67 мм); Бічне інформаційне табло для відображення номера маршруту, початкової і кінцевої і проміжних зупинках маршруту. Розширення 128х16 (не більше 1302х186х65 мм); Заднє  інформаційне табло ЗІТ  розширення 32х16 для відображення  номера маршруту (не більше 342х186х65); Внутрішнє  інформаційне  табло ВІТ розширення 96х8.  Світлодіод   4,8 мм (не більше 600х90х60 мм); Бортовий комп'ютер БК 128 ВА  з  флешкартою,  на яку можуть  бути  записані   маршрути   по  завданню Замовника,  підсилювачем   потужності  і GPS приймачем (не більше 210х130х60мм); Комплект  кронштейнів  для  кріплення  табло; Динамічний  мікрофон   МД-04</t>
  </si>
  <si>
    <t xml:space="preserve">Перемикач XB2-BJ33; Перемикач XB2-BJ21; Iзолятор-тримач SM-40; Iзолятор-тримач SM-60; Колодка клемна ТВ 3512; RX³ 4,5кА 6А 1п C, Legrand; RX³ 4,5кА 10А 1п C, Legrand; RX³ 4,5кА 16А 1п C, Legrand; RX³ 4,5кА 25А 1п C, Legrand; Вставка плавка ППНИ-33, 160А; Вставка плавка ППНИ-33, 50А; Тримач до запобіжників ДП-33 160А; Роз'єм FDFD 2-250 (100шт); Майданчик п\хом СТН-2В (100шт); Маркування ЕС-1 (0); Маркування ЕС-1 (1); Маркування ЕС-1 (2); Маркування ЕС-1 (3); Маркування ЕС-1 (4); Маркування ЕС-1 (5); Маркування ЕС-1 (6); Маркування ЕС-1 (7); Маркування ЕС-1 (8); Маркування ЕС-1 (9); Кнопка XB2-BA21 чорн; Кнопка XB2-BA31 зелена; Кнопка XB2-BA42 червона; Кнопка XB2-BA51  жовта; Кнопка XB2-BC31; Перемикач XB2-BD21; Перемикач XB2-BD33; Кнопка ХВ2-BS442; Кнопка ХВ2-BS642; Блок-контакт ZB2-BE 101N\O; Блок-контакт ZB2-BE 102N\С; Індикатор АD22-22DS 24V жовт; Індикатор АD22-22DS 24V зелен; Індикатор АD22-22DS 24V синя; Індикатор АD22-22DS 24V червона; Гофра д20 ДКС чорна ; Гофра д32 ДКС чорна ; Гофра д16 ДКС чорна ; Кабельний  накінечник RV 2-4 (100); Кабельний  накінечник RV 2-5 (100); Кабельний  накінечник RV 3.5-6 (100); Кабельний  накінечник RV 5.5-6 (100); Кабельний  накінечник ТМЛ-10; Кабельний  накінечник ТМЛ-16; Кабельний  накінечник ТМЛ-25; Кабельний  накінечник ТМЛ-35; Кабельний  накінечник ТМЛ-50; Кабельний  накінечник ТМЛ-70; Гільза GT-35; Гільза GT-50; Термотрубка 2; Термотрубка 4; Термотрубка 20; Термотрубка 25; Термотрубка 12; Термотрубка 6; Термотрубка 3; Сальник PG 13.5; Сальник PG 18; Сальник PG 21; Сальник PG 29; Спіраль SWB-06; Спіраль SWB-12; Колодка клемна ТВ 3512; Колодка клемна ТВ 2510; Роз'єм FDFD 1.25-250 (100шт); Роз'єм FDFD 2-250 (100шт); Кабельний  накінечник RV 1.25-4 (100шт); Кабельний  накінечник RV 2-4 (100шт); Кабельний  накінечник RV 2-5 (100шт); Кабельний  накінечник RV 3.5-6 (100шт); Вставка плавка ППНИ-33, 63А; Розетка внутрішня без заземлення; Розетка внутрішня із заземленням; Розетка зовнішня із заземленням; Розетка зовнішня без заземлення; Вимикач внутрішній однополюсний; Вимикач внутрішній двополюсний; Вимикач зовнішній однополюсний; Вимикач внутрішній двополюсний; Шина N «ноль» на двох кутових ізоляторах; RX³ 4,5кА 16А 1п C, Legrand; RX³ 4,5кА 25А 1п C, Legrand; Бокс КМПн 2/4 на 4 модуля навісний 140х98х83 IP30; Бокс КМПн 2/6 на 6 модулів навісний 140х130х83 IP30, IEK; Щит навісний ЩРН-П- 8 модулів 200х184х95 IP41, IEK; Корпус металевий ЩРн-36з-1 36 УХЛ3 IP31, IEK; Підрозетник в бетон IMT35100 Schneider; Коробка розподільна IMT35121 Schneider; Коробка розподільна IP55 (100х100х50мм) КМ41234 IEK; Короб пластиковий "SPROFESSIONAL"  20х10; Короб пластиковий "SPROFESSIONAL"  25х16; Короб пластиковий "SPROFESSIONAL"  40х40; Гофра д16 ДКС сіра; Гофра д25 ДКС сіра ; Автомати постійного струму типу ETIMAT P10 DC 6A ; Автомати постійного струму типу ETIMAT P10 DC 10A ; Автомати постійного струму типу ETIMAT P10 DC 16A ; Автомати постійного струму типу ETIMAT P10 DC 25A </t>
  </si>
  <si>
    <t>Переможець (назва)</t>
  </si>
  <si>
    <t xml:space="preserve">Плити, листи, стрічки та фольга, пов’язані з конструкційними матеріалами </t>
  </si>
  <si>
    <t>Плити, листи, стрічки та фольга, пов’язані з конструкційними матеріалами 
(гіпсокартон, плити пінополістирольні)</t>
  </si>
  <si>
    <t>Повірка водолічильників (2 шт)</t>
  </si>
  <si>
    <t>Пожежно-рятувальні послуги</t>
  </si>
  <si>
    <t xml:space="preserve">Позачергова технічна перевірка  правильності  роботи засобу обліку (перевірка схем вмикання) у 3-ф. електроустановці  трансформаторного включення понад 1000 В за ініціативою  замовника, при роботі 3-х працівників.  </t>
  </si>
  <si>
    <t xml:space="preserve">Позачергова технічна перевірка правильності роботи засобу обліку (перевірка схеми вмикання) у 3-ф електроустановці прямого включення до 1000 В за ініціативою замовника </t>
  </si>
  <si>
    <t>Полуги пожежно-рятувальних служб</t>
  </si>
  <si>
    <t>Полікарбонат 8 мм бронза (Polygal); L-профіль; Термошайба Makrolon 10 мм бронза ; саморіз покрівельний цинк</t>
  </si>
  <si>
    <t xml:space="preserve">Послуга автокрана </t>
  </si>
  <si>
    <t xml:space="preserve">Послуги  з ремонту і технічного обслуговування вимірювальних, випробувальних  і контрольних  приладів </t>
  </si>
  <si>
    <t>Послуги з захоронення побутових відходів</t>
  </si>
  <si>
    <t>Послуги з навантаження асфальтобетонно крихти</t>
  </si>
  <si>
    <t>Послуги з навантаження асфальтобетонної крихти</t>
  </si>
  <si>
    <t>Послуги з оформлення документів про освіту</t>
  </si>
  <si>
    <t xml:space="preserve">Послуги з прибирання </t>
  </si>
  <si>
    <t>Послуги з прибирання прилеглої території бази відпочинку</t>
  </si>
  <si>
    <t xml:space="preserve">Послуги з професійної підготовки спеціалістів ( навчання у сфері  здійснення  державних/публічних закупівель та послуги з гарантуванням безоплатного консультування до наступних змін у законодавстві в сфері державних/публічних закупівель </t>
  </si>
  <si>
    <t>Послуги з ремонту і технічного обслуговування  електричного і механічного устаткування будівель (технічне обслуговування (повірка) та ремонт манометрів).</t>
  </si>
  <si>
    <t xml:space="preserve">Послуги з ремонту і технічного обслуговування  медичного та хірургічного обладнання </t>
  </si>
  <si>
    <t>Послуги з ремонту і технічного обслуговування вимірювальних, випробувальних і контрольних приладів</t>
  </si>
  <si>
    <t xml:space="preserve">Послуги з ремонту і технічного обслуговування вимірювальних, випробувальних і контрольних приладів (водолічильників). </t>
  </si>
  <si>
    <t xml:space="preserve">Послуги з ремонтування і технічного обслуговування високоточного обладнання </t>
  </si>
  <si>
    <t>Послуги з ремоту, технічного обслуговування  дорожньої  інфраструктури (Послуги з освітлення)</t>
  </si>
  <si>
    <t xml:space="preserve">Послуги з технічного обслуговування, встановлення додаткового обладнання та ремонту автомобіля </t>
  </si>
  <si>
    <t>Послуги з технічного огляду та випробувань (позачергова перевірка схем вмикання).</t>
  </si>
  <si>
    <t>Послуги забезпечення роботи інформаційної системи GPS- моніторингу транспортних засобів</t>
  </si>
  <si>
    <t>Послуги зі встановлення вимірювального обладнання</t>
  </si>
  <si>
    <t>Послуги пожежних та рятувальних служб</t>
  </si>
  <si>
    <t>Послуги із саніарно-гігієнічної обробки приміщень</t>
  </si>
  <si>
    <t>Послуги, пов'язані  із системами  та підтримкою</t>
  </si>
  <si>
    <t>Предмет закупівлі</t>
  </si>
  <si>
    <t>Приєднання до елктромережі</t>
  </si>
  <si>
    <t xml:space="preserve">Провід  ПЄТД-200   0,4 мм; Провід  ПЄТД-200   0,45 мм; Провід  ПЄТД-200   0,5 мм; Провід  ПЄТД-200   0,56 мм; Провід  ПЄТД-200   0,63 мм; Провід  ПЄТД-200   0,73 мм; Провід  ПЄТД-200   0,85 мм; Провід  ПЄТД-200   0,95 мм; Провід  ПЄТД-200   1,00 мм; Провід  ПЄТД-200   1,18 мм; Провід  ПЄТД-200   1,06 мм; Провід  ПЄТД-200   1,4 мм; Провід  ПЄТД-200   1,6 мм; Провід  ПСДКЛ-Л  1,6 х 3,15 мм ; Провід  ПСДКЛ-Л  1,9 мм ; Провід  ПСДКЛ-Л 2 мм ; Провід  ПСДКЛ-Л 1,6 мм </t>
  </si>
  <si>
    <t>Провід екранований LA PPKABEL STU GART OL FLEX CLASSIK 115 CY 4х1 мм (або еквівалент); Кабель МКШ 6х0,75 мм; Кабель МКШ 6х2,5 мм; Провід СІП 1х16 мм; Провід СІП 2х25 мм; Кабель КГНВ 1х95 мм2; Провід ПВ-3 1 мм2; Провід ПВ-3 1,5 мм2; Провід ПВ-3 2,5 мм2; Провід ПВ-3 4 мм2; Провід ПВ-3 10 мм2; Провід АПВ-16; Кабель КГ 1х16 мм2; Кабель КГ 1х25 мм2; Кабель КГ 1х6 мм2; Кабель КГ 1х35 мм2; Кабель КГ 1х50 мм2; Провід ППСРВМ 1х70 мм2; Провід ППСРВМ 1х50 мм2; Провід ППСРВМ 1х35  мм2; Провід ППСРВМ 1х25  мм2; Провід ППСРВМ 1х10  мм2; Провід ППСРВМ 1х6  мм2; Провід АВВГ 2х2,5  мм2; Провід АВВГ 2х4  мм2; Провід АВВГ 2х6  мм2; Провід АВВГ 2х10  мм2; Кабель ПВС 2х1,5  мм2; Кабель ПВС 2х2,5  мм2; Кабель ПВС 2х0,75  мм2</t>
  </si>
  <si>
    <t>Прокат автокрану КС-3577 (МАЗ)</t>
  </si>
  <si>
    <t>Прокат вантажних транспортних засобів із водієм для перевезення товару (послуги автокрану)</t>
  </si>
  <si>
    <t xml:space="preserve">Прокат обладнання з оператором  для виконання земляних робіт </t>
  </si>
  <si>
    <t xml:space="preserve">Прокат підіймальних кранів з оператором </t>
  </si>
  <si>
    <t>Прокол під дорогою (перетин пр. Богоявленського); Копання котловану на ділянці (зупинка "Вул.Авангардна) 4 шт.</t>
  </si>
  <si>
    <t>Прокол під дорогою (ріг пр. Центрального та вул. Фалеєвська); Копання котловану на ділянці (ріг пр. Центрального та вул. Фалеєвська)</t>
  </si>
  <si>
    <t>Прокол під дорогою ; Копання котловану</t>
  </si>
  <si>
    <t xml:space="preserve">Промисловий ковролін автолін  </t>
  </si>
  <si>
    <t>Профіль CD 4 м; Профіль UD	4 м; Кутик для укосу алюмінієвий  3 м; Профіль KRAFT Nova Т-24  білий *	3600*24; Профіль KRAFT Nova Т-24  білий *	1200*24; Профіль KRAFT Nova Т-24  білий *	600*24; Стрижень з загином (гачок)	L-250; Стрижень закріплюючий (з вушком) 	L-250; Пружинний підвіс (метелик); Профіль пристінний KRAFT білий *	L19*24*3000</t>
  </si>
  <si>
    <t>Профіль прямокутний 40х20х2 мм; Профіль квадратний 40х40х2 мм; Кутник 40х40х3,0 мм  S235 JR; Арматура  20 мм  A 500 C; Круг 24 мм S235 JR; Прокат сталевий круглий ф 6,5 (А240)</t>
  </si>
  <si>
    <t>Підшипник 108710         ГОСТ8328-75; Підшипник 108810        677-3001024; Підшипник 122   ГОСТ 8338-75; Підшипник 180018  ГОСТ 8882-75; Підшипник 180029  ГОСТ 8882-75, ISO-(629 2RS CX); Підшипник 180201  ГОСТ 8882-75; Підшипник 180202  ГОСТ 8882-75; Підшипник 180203  ГОСТ 8882-75; Підшипник 180204ISO-(6204 2 RSBBC-R). ISO- (6204 2RSZVLKINEX); Підшипник 180205 ГОСТ 8882-75; Підшипник 180206 ГОСТ 8882-75; Підшипник 180303  ГОСТ 8882-75; Підшипник 180306  ГОСТ 8882-75; Підшипник 180307  ГОСТ 8882-75; Підшипник 180308  ГОСТ 8882-75; Підшипник 180309  ГОСТ 8882-75; Підшипник 180310  ГОСТ 8882-75; Підшипник 2312  ГОСТ 8328-75; Підшипник 27313  ГОСТ 7260, ISO-(31313); Підшипник  3003220 ГОСТ 5721-75; Підшипник  312  ГОСТ 8338-75; Підшипник  32310Л ГОСТ 3838-75; Підшипник  32314Л ГОСТ 3838-75  ; Підшипник  32412Л  ГОСТ 32412Л; Підшипник  32413Л  ГОСТ 3838-75; Підшипник  32615Л  ГОСТ 32615; Підшипник  3620  ГОСТ 5721-75; Підшипник  410  ГОСТ 8338-75; Підшипник  413  ГОСТ 8338-75, ISO 6413; (видалене); Підшипник  7208  ГОСТ 333-79; Підшипник  7216  ГОСТ (VPZ) 8338-15; Підшипник  7220  ГОСТ 333-79; Підшипник  7307  ГОСТ 333-79; Підшипник  7312  ГОСТ 333-79; Підшипник  7508  ГОСТ 333-79 BBC-R; Підшипник  7609  ГОСТ 333-79 ; Підшипник  7610  ГОСТ 27365-87; Підшипник  7612  ГОСТ 333-79; Підшипник  7613  ГОСТ 333-79; Підшипник  7614  ГОСТ 333-79 ICO 32314; Підшипник  7615  ГОСТ 333-79 ICO 32315; Підшипник  80018 (608 ZZ CX); Підшипник  80305 ICO15211; Підшипник  8205 ГОСТ 7242-81; Підшипник  8210 ГОСТ 7872-81; Підшипник  HJ308 ГОСТ 8338-75</t>
  </si>
  <si>
    <t>Рейки типу Р-50; Рейки типу Т-62; Шпала дерев'яна (тип2-А); Прокладка гумова ЦП (код КБ-50); Болт стиковий  в зборі М24 (гайка+гровер); Костиль колійний (16х16х165); Накладка Р-50; Підкладка Д-65; Підкладка Д-50; Прокладка гумова ПРМЦ; Шайба гровера 2-х виткова</t>
  </si>
  <si>
    <t>Руйнування та знесення будівель  і земляні роботи (прокол під дорогою, копання котловану)</t>
  </si>
  <si>
    <t xml:space="preserve">Рукавички діелектричні, безшовні латексні, (випробув. 9кВ), клас О; Перчатки шкіряні Крага, червоні, р-р 11 Werk; Напівмаска з 2 змінними фільтрами РУ-60М марка А1В1Е1Р2 (чорний); Окуляри Vision, Vita; Рукавички робочі . Помаранчеві , р-р 10, Сталь </t>
  </si>
  <si>
    <t>Ручні інструменти пневматичні чи моторизовані (віброплита, мастило чотирикратне, вставки для накінечника, накінечники для газового пальника, каністри металеві вертикальні, сопла конічні)</t>
  </si>
  <si>
    <t>САЄНКО ВОЛОДИМИР ДМИТРОВИЧ</t>
  </si>
  <si>
    <t>СГ723025015200000964</t>
  </si>
  <si>
    <t>СЕРЕДА  СЕРГІЙ ВІКТОРОВИЧ</t>
  </si>
  <si>
    <t>Санітарно-хімічний аналіз питної води</t>
  </si>
  <si>
    <t>Світильник  ЛБ 36W; Світильник  ЛБ 18W; Світильник  ЛБ 2х36W; Світильник  ЛБ 2х18W; Світильник  18W; Світильник  24W; Світильник  12W; Світильник  36W (або панелі 600х600); Світильник  6W ; Світильник  AL530 10Вт</t>
  </si>
  <si>
    <t>Світильники та освітлювальна арматура (комплекти LED-освітлення)</t>
  </si>
  <si>
    <t>Сидіння для мототранспортних засобів (сидіння пасажирські, сидіння водія)</t>
  </si>
  <si>
    <t>Системи реєстрації медичної інформації  та дослідне обладнання</t>
  </si>
  <si>
    <t>Скло (Автоскло до трамваю)</t>
  </si>
  <si>
    <t>Скло (скло вітрове трамвая КТМ - 5МЗ</t>
  </si>
  <si>
    <t>Скло вітрове трамвая КТМ- 5МЗ</t>
  </si>
  <si>
    <t>Скло дверне ; Скло вітрове заднє; Скло дверне (1-а та 4-а); Скло дверне (2-а та 3-а); Скло  кабіни водія вітрове; Скло  кабіни водія бічне; Скло  вітрове заднє; Скло  бічне  заднє ліве; Скло  бічне  заднє праве; Скло вітрове кабіни водія; Скло бічне салону нижнє; Скло бічне салону верхнє рухоме; Скло бічне салону верхнє нерухоме; Скло бічне салону велике ліве ; Скло вітрове заднє; Скло бічне салону нижнє; Скло бічне салону верхнє рухоме; Скло бічне салону верхнє нерухоме; Скло кабіни водія вітрове; Скло вітрове заднє; Скло бічне заднє ліве; Скло бічне заднє  праве; Скло вітрове переднє; Скло вітрове заднє; Скло бічне салону нижнє; Скло бічне праве салону верхнє рухоме; Скло бічне праве салону верхнє нерухоме; Скло ліве кабіни водія нижнє рухоме; Скло ліве кабіни водія нижнє нерухоме; Скло  праве кабіни водія; Скло  ліве кабіни водія верхнє; Скло  двері салону; Скло  бічне салону нижнє; Скло  бічне салону верхнє рухоме; Скло  бічне салону верхнє ціле; Скло  двері салону ; Скло  вітрове переднє; Скло  вітрове заднє; Скло  бічне салону нижнє; Скло  бічне салону верхнє рухоме; Скло  бічне салону верхнє нерухоме; Скло  ліве кабіни водія нижнє рухоме; Скло  ліве кабіни водія нижнє нерухоме; Скло  праве  кабіни водія ; Скло  ліве  кабіни водія верхнє  ; Скло  двері салону; Скло  вітрове переднє; Скло  вітрове заднє; Скло  бічне салону нижнє; Скло  бічне салону верхнє рухоме; Скло  бічне салону верхнє нерухоме; Скло  ліве кабіни водія нижнє рухоме ; Скло  ліве кабіни водія нижнє нерухоме ; Скло  двері салону; Скло  вітрове переднє; Скло  вітрове заднє; Скло  бічне салону нижнє; Скло  бічне салону верхнє рухоме; Скло  бічне салону верхнє нерухоме; Скло  ліве кабіни водія  нижнє рухоме ; Скло  ліве кабіни водія  нижнє нерухоме ; Скло  ліве кабіни водія  верхнє; Скло  двері салону; Скло  вітрове переднє; Скло  вітрове заднє; Скло  бічне салону нижнє; Скло  бічне салону верхнє рухоме; Скло  ліве кабіни водія  нижнє  рухоме; Скло  ліве кабіни водія  нижнє  нерухоме; Скло  ліве кабіни водія  верхнє; Скло  двері салону</t>
  </si>
  <si>
    <t>Статус договору</t>
  </si>
  <si>
    <t>Страхові послуги (послуги з добровільного страхування цивільно-правової відповідальності власників наземних транспортних засобів 
(тролейбусів)</t>
  </si>
  <si>
    <t>Страхові послуги (послуги з добровільного страхування цивільно-правової відповідальності власників наземних транспортних засобів)</t>
  </si>
  <si>
    <t>Сума договору</t>
  </si>
  <si>
    <t>Суміш асфальтобетонна</t>
  </si>
  <si>
    <t>Суміші асфальтобетонні гарячі дрібнозернисті тип – Б, м-2 (АСГ.Др.Щ.Б.НП.II.БНД 60/90 )</t>
  </si>
  <si>
    <t xml:space="preserve">Сіль технічна кам'яна </t>
  </si>
  <si>
    <t>ТЕРНОВСЬКИЙ МИХАЙЛО МИХАЙЛОВИЧ</t>
  </si>
  <si>
    <t>ТОВ "Абразив груп"</t>
  </si>
  <si>
    <t>ТОВ "Агора"</t>
  </si>
  <si>
    <t>ТОВ "Бетон Нова Інтернешнл"</t>
  </si>
  <si>
    <t>ТОВ "ЕКСПЕРТ-ТРЕЙДЕР"</t>
  </si>
  <si>
    <t>ТОВ "Епіцентр К"</t>
  </si>
  <si>
    <t>ТОВ "МАНГО-ГРУП"</t>
  </si>
  <si>
    <t>ТОВ "МК "БУДАГРОМАШ"</t>
  </si>
  <si>
    <t>ТОВ "ТД "АЛЬФАТЕХ"</t>
  </si>
  <si>
    <t>ТОВ "ТОРГОВИЙ ДІМ ВЛАДАР"</t>
  </si>
  <si>
    <t>ТОВ "УКРСЕРВІС М"</t>
  </si>
  <si>
    <t>ТОВ Аліана</t>
  </si>
  <si>
    <t>ТОВ СПЕЦЛІТ'Є"</t>
  </si>
  <si>
    <t>ТОВ Центр Комплектації Миколаїв</t>
  </si>
  <si>
    <t>ТОВ"АДС СЕРВІС"</t>
  </si>
  <si>
    <t>ТОВАРИСТВО З ДОДАТКОВОЮ ВІДПОВІДАЛЬНІСТЮ "МИКОЛАЇВБУДМЕХАНІЗАЦІЯ"</t>
  </si>
  <si>
    <t>ТОВАРИСТВО З ОБМЕЖЕНОЮ ВІДПОВІДАЛЬНІСТЮ "ІНСТРУМЕНТ-ТЕХСЕРВІС"</t>
  </si>
  <si>
    <t>ТОВАРИСТВО З ОБМЕЖЕНОЮ ВІДПОВІДАЛЬНІСТЮ "ІНТЕЛЛІ"</t>
  </si>
  <si>
    <t>ТОВАРИСТВО З ОБМЕЖЕНОЮ ВІДПОВІДАЛЬНІСТЮ "АВТОАДРЕСА"</t>
  </si>
  <si>
    <t>ТОВАРИСТВО З ОБМЕЖЕНОЮ ВІДПОВІДАЛЬНІСТЮ "АВТОТРІПЛЕКС"</t>
  </si>
  <si>
    <t>ТОВАРИСТВО З ОБМЕЖЕНОЮ ВІДПОВІДАЛЬНІСТЮ "АГРО-ДЕТАЛЬ"</t>
  </si>
  <si>
    <t>ТОВАРИСТВО З ОБМЕЖЕНОЮ ВІДПОВІДАЛЬНІСТЮ "АЛІАНА"</t>
  </si>
  <si>
    <t>ТОВАРИСТВО З ОБМЕЖЕНОЮ ВІДПОВІДАЛЬНІСТЮ "АЛЛСОФТ УКРАЇНА"</t>
  </si>
  <si>
    <t>ТОВАРИСТВО З ОБМЕЖЕНОЮ ВІДПОВІДАЛЬНІСТЮ "АЛМАКС-ТЕРМО"</t>
  </si>
  <si>
    <t>ТОВАРИСТВО З ОБМЕЖЕНОЮ ВІДПОВІДАЛЬНІСТЮ "АСФА ЛТД"</t>
  </si>
  <si>
    <t>ТОВАРИСТВО З ОБМЕЖЕНОЮ ВІДПОВІДАЛЬНІСТЮ "БУДАЛЬЯНС"</t>
  </si>
  <si>
    <t>ТОВАРИСТВО З ОБМЕЖЕНОЮ ВІДПОВІДАЛЬНІСТЮ "ВУГІЛЛЯ-МИКОЛАЇВ"</t>
  </si>
  <si>
    <t>ТОВАРИСТВО З ОБМЕЖЕНОЮ ВІДПОВІДАЛЬНІСТЮ "ДАС-ІНСТРУМЕНТ"</t>
  </si>
  <si>
    <t>ТОВАРИСТВО З ОБМЕЖЕНОЮ ВІДПОВІДАЛЬНІСТЮ "ДНІПРОРЕСУРС"</t>
  </si>
  <si>
    <t>ТОВАРИСТВО З ОБМЕЖЕНОЮ ВІДПОВІДАЛЬНІСТЮ "ЕВРОДЕКОР"</t>
  </si>
  <si>
    <t>ТОВАРИСТВО З ОБМЕЖЕНОЮ ВІДПОВІДАЛЬНІСТЮ "ЕКСПРЕС ІНВЕСТ"</t>
  </si>
  <si>
    <t>ТОВАРИСТВО З ОБМЕЖЕНОЮ ВІДПОВІДАЛЬНІСТЮ "ЕЛСІЕЛ-ТРАНС"</t>
  </si>
  <si>
    <t>ТОВАРИСТВО З ОБМЕЖЕНОЮ ВІДПОВІДАЛЬНІСТЮ "ЕНЕРГОКОНСАЛТ-ССН"</t>
  </si>
  <si>
    <t>ТОВАРИСТВО З ОБМЕЖЕНОЮ ВІДПОВІДАЛЬНІСТЮ "ЕПІЦЕНТР К"</t>
  </si>
  <si>
    <t>ТОВАРИСТВО З ОБМЕЖЕНОЮ ВІДПОВІДАЛЬНІСТЮ "КАЙРОС ГРУП УКРАЇНА"</t>
  </si>
  <si>
    <t>ТОВАРИСТВО З ОБМЕЖЕНОЮ ВІДПОВІДАЛЬНІСТЮ "КВОРУМ-НАФТА"</t>
  </si>
  <si>
    <t>ТОВАРИСТВО З ОБМЕЖЕНОЮ ВІДПОВІДАЛЬНІСТЮ "КОМП'ЮТЕР ДЕПО"</t>
  </si>
  <si>
    <t>ТОВАРИСТВО З ОБМЕЖЕНОЮ ВІДПОВІДАЛЬНІСТЮ "КОРНЕТ ХОЛДИНГ"</t>
  </si>
  <si>
    <t>ТОВАРИСТВО З ОБМЕЖЕНОЮ ВІДПОВІДАЛЬНІСТЮ "КС ПРОФІТ"</t>
  </si>
  <si>
    <t>ТОВАРИСТВО З ОБМЕЖЕНОЮ ВІДПОВІДАЛЬНІСТЮ "МАГАЗИН "МЕДТЕХНІКА"</t>
  </si>
  <si>
    <t>ТОВАРИСТВО З ОБМЕЖЕНОЮ ВІДПОВІДАЛЬНІСТЮ "МАШИНОБУДІВНЕ ПІДПРИЄМСТВО "РЕСПЕКТ"</t>
  </si>
  <si>
    <t>ТОВАРИСТВО З ОБМЕЖЕНОЮ ВІДПОВІДАЛЬНІСТЮ "МЕТРОЛОГ"</t>
  </si>
  <si>
    <t>ТОВАРИСТВО З ОБМЕЖЕНОЮ ВІДПОВІДАЛЬНІСТЮ "МИКОЛАЇВ ТЕХЕКСПЕРТ"</t>
  </si>
  <si>
    <t>ТОВАРИСТВО З ОБМЕЖЕНОЮ ВІДПОВІДАЛЬНІСТЮ "МИКОЛАЇВАВТОДОР"</t>
  </si>
  <si>
    <t>ТОВАРИСТВО З ОБМЕЖЕНОЮ ВІДПОВІДАЛЬНІСТЮ "МИКОЛАЇВМЕТАЛООПТТОРГ"</t>
  </si>
  <si>
    <t>ТОВАРИСТВО З ОБМЕЖЕНОЮ ВІДПОВІДАЛЬНІСТЮ "МИКОЛАЇВСЬКА ЕЛЕКТРОПОСТАЧАЛЬНА КОМПАНІЯ"</t>
  </si>
  <si>
    <t>ТОВАРИСТВО З ОБМЕЖЕНОЮ ВІДПОВІДАЛЬНІСТЮ "МИКОЛАЇВСЬКИЙ ОБЛАСНИЙ ЦЕНТР ПРОФІЛАКТИЧНОГО ОГЛЯДУ"</t>
  </si>
  <si>
    <t>ТОВАРИСТВО З ОБМЕЖЕНОЮ ВІДПОВІДАЛЬНІСТЮ "ММСІ"</t>
  </si>
  <si>
    <t>ТОВАРИСТВО З ОБМЕЖЕНОЮ ВІДПОВІДАЛЬНІСТЮ "НІКПОЖТЕХСЕРВІС"</t>
  </si>
  <si>
    <t>ТОВАРИСТВО З ОБМЕЖЕНОЮ ВІДПОВІДАЛЬНІСТЮ "НВО "А.Т.О.Р."</t>
  </si>
  <si>
    <t>ТОВАРИСТВО З ОБМЕЖЕНОЮ ВІДПОВІДАЛЬНІСТЮ "НЕРТАТОРГ"</t>
  </si>
  <si>
    <t>ТОВАРИСТВО З ОБМЕЖЕНОЮ ВІДПОВІДАЛЬНІСТЮ "НИКОЛАЕВЭЛЕКТРО"</t>
  </si>
  <si>
    <t>ТОВАРИСТВО З ОБМЕЖЕНОЮ ВІДПОВІДАЛЬНІСТЮ "НОУ-ХАУ"</t>
  </si>
  <si>
    <t>ТОВАРИСТВО З ОБМЕЖЕНОЮ ВІДПОВІДАЛЬНІСТЮ "ОРІОН ГЛАСС ПЛЮС"</t>
  </si>
  <si>
    <t>ТОВАРИСТВО З ОБМЕЖЕНОЮ ВІДПОВІДАЛЬНІСТЮ "ПНЕВМАТИК ТРЕЙД"</t>
  </si>
  <si>
    <t>ТОВАРИСТВО З ОБМЕЖЕНОЮ ВІДПОВІДАЛЬНІСТЮ "ПОШИВ ГРУП"</t>
  </si>
  <si>
    <t>ТОВАРИСТВО З ОБМЕЖЕНОЮ ВІДПОВІДАЛЬНІСТЮ "ПРОЕКТ-КОМПЛЕКТ СТРОЙ"</t>
  </si>
  <si>
    <t>ТОВАРИСТВО З ОБМЕЖЕНОЮ ВІДПОВІДАЛЬНІСТЮ "РАДНИК ЮА"</t>
  </si>
  <si>
    <t>ТОВАРИСТВО З ОБМЕЖЕНОЮ ВІДПОВІДАЛЬНІСТЮ "САВ-ДІСТРИБЬЮШН"</t>
  </si>
  <si>
    <t>ТОВАРИСТВО З ОБМЕЖЕНОЮ ВІДПОВІДАЛЬНІСТЮ "САНПЛЮС"</t>
  </si>
  <si>
    <t>ТОВАРИСТВО З ОБМЕЖЕНОЮ ВІДПОВІДАЛЬНІСТЮ "САНТАРЕКС"</t>
  </si>
  <si>
    <t>ТОВАРИСТВО З ОБМЕЖЕНОЮ ВІДПОВІДАЛЬНІСТЮ "СМАРТ-СКЛО"</t>
  </si>
  <si>
    <t>ТОВАРИСТВО З ОБМЕЖЕНОЮ ВІДПОВІДАЛЬНІСТЮ "СОНАР"</t>
  </si>
  <si>
    <t>ТОВАРИСТВО З ОБМЕЖЕНОЮ ВІДПОВІДАЛЬНІСТЮ "СТРУМ-92"</t>
  </si>
  <si>
    <t>ТОВАРИСТВО З ОБМЕЖЕНОЮ ВІДПОВІДАЛЬНІСТЮ "ТД ТЕРМОФІТ"</t>
  </si>
  <si>
    <t>ТОВАРИСТВО З ОБМЕЖЕНОЮ ВІДПОВІДАЛЬНІСТЮ "ТЕХНОЦЕНТР МАЯК ГРУП"</t>
  </si>
  <si>
    <t>ТОВАРИСТВО З ОБМЕЖЕНОЮ ВІДПОВІДАЛЬНІСТЮ "ТОРГОВО-ПРОМИСЛОВА КОМПАНІЯ "ОМЕГА-АВТОПОСТАВКА"</t>
  </si>
  <si>
    <t>ТОВАРИСТВО З ОБМЕЖЕНОЮ ВІДПОВІДАЛЬНІСТЮ "ТПК ЮГМЕТ"</t>
  </si>
  <si>
    <t>ТОВАРИСТВО З ОБМЕЖЕНОЮ ВІДПОВІДАЛЬНІСТЮ "ТРЕЙД МАРКЕТ ГРУП"</t>
  </si>
  <si>
    <t>ТОВАРИСТВО З ОБМЕЖЕНОЮ ВІДПОВІДАЛЬНІСТЮ "ФІРМА ПО ВПРОВАДЖЕННЮ НОВОЇ ІНФОРМАЦІЙНОЇ ТЕХНОЛОГІЇ "МЕГАБАЙТ"</t>
  </si>
  <si>
    <t>ТОВАРИСТВО З ОБМЕЖЕНОЮ ВІДПОВІДАЛЬНІСТЮ "Ю-НІК"</t>
  </si>
  <si>
    <t>ТОВАРИСТВО З ОБМЕЖЕНОЮ ВІДПОВІДАЛЬНІСТЮ "ЮЖМЕТИЗ"</t>
  </si>
  <si>
    <t>ТОВАРИСТВО З ОБМЕЖЕНОЮ ВІДПОВІДАЛЬНІСТЮ - ФІРМА "АКТИВ ЛТД"</t>
  </si>
  <si>
    <t>ТОВАРИСТВО З ОБМЕЖЕНОЮ ВІДПОВІДАЛЬНІСТЮ ВИРОБНИЧО-КОМЕРЦІЙНА ФІРМА "ЕЛІТЕХ"</t>
  </si>
  <si>
    <t>ТОВАРИСТВО З ОБМЕЖЕНОЮ ВІДПОВІДАЛЬНІСТЮ ВИРОБНИЧО-КОМЕРЦІЙНА ФІРМА "ХІМРЕЗЕРВ-МИКОЛАЇВ"</t>
  </si>
  <si>
    <t>ТОВАРИСТВО З ОБМЕЖЕНОЮ ВІДПОВІДАЛЬНІСТЮ НАУКОВО-ВПРОВАДЖУВАЛЬНА ФІРМА "ГРАНАТО"</t>
  </si>
  <si>
    <t>ТОВАРИСТВО З ОБМЕЖЕНОЮ ВІДПОВІДАЛЬНІСТЮ ФІРМА "СКВІД"</t>
  </si>
  <si>
    <t xml:space="preserve">Телевізійне й аудіовізуальне обладнання </t>
  </si>
  <si>
    <t xml:space="preserve">Теплообмінники, кондиціонери повітря, холодильне обладнання та фільтрувальні пристрої </t>
  </si>
  <si>
    <t>Технічне обслуговування і ремонт офісної техніки (заправка картриджів, відновлення картриджів, технічне обслуговування ноутбуків, технічне обслуговування ПК, технічне обслуговування лазерного принтеру, технічне обслуговування  багатофункціонального пристрою А4, ремонт (заміна) джерела безперебійного живлення АКБ, ремонт монітору)</t>
  </si>
  <si>
    <t>Тип процедури</t>
  </si>
  <si>
    <t>Товариство з обмеженою відповідальністю "НАУКОВО-ВИРОБНИЧЕ ПІДПРИЄМСТВО "ДНІПРО-СЕРВІС"</t>
  </si>
  <si>
    <t>Товариство з обмеженою відповідальністю «РЕСУРС ЕНЕРГО»</t>
  </si>
  <si>
    <t>Тонометр автоматичний NISSEY DS-10</t>
  </si>
  <si>
    <t>Торговый Дом Светоприбор</t>
  </si>
  <si>
    <t xml:space="preserve">Транспортні квитки згідно специфікації до договору </t>
  </si>
  <si>
    <t>Тротуарна плитка: 200х100 х 60 мм, колір сірий; Тротуарна плитка: 200х100 х 80 мм, колір сірий; Тротуарна плитка: 200х100 х 120 мм, колір сірий; Бордюр 500мм х 200мм х 55мм, колір сірий; Бордюр 1000мм х 300мм х 55мм, колір сірий</t>
  </si>
  <si>
    <t>УПРАВЛІННЯ ПОЛІЦІЇ ОХОРОНИ В МИКОЛАЇВСЬКІЙ ОБЛАСТІ</t>
  </si>
  <si>
    <t>Узагальнена назва закупівлі</t>
  </si>
  <si>
    <t>УпМОЕ006881</t>
  </si>
  <si>
    <t>УпМОЕ008876</t>
  </si>
  <si>
    <t>УпМОЕ012333</t>
  </si>
  <si>
    <t>ФОП Єгорова С.М.</t>
  </si>
  <si>
    <t>ФОП БІЛОВ ВОЛОДИМИР АНАТОЛІЙОВИЧ</t>
  </si>
  <si>
    <t>ФОП ДЕМ'ЯНОВ СЕРГІЙ ВАСИЛЬОВИЧ</t>
  </si>
  <si>
    <t>ФОП Дем'янов</t>
  </si>
  <si>
    <t>ФОП Заседкін О.П.</t>
  </si>
  <si>
    <t>ФОП ЛІЗОГУБОВ ПАВЛО МИКОЛАЙОВИЧ</t>
  </si>
  <si>
    <t>ФОП Ярошевич Анатолій Андрійович</t>
  </si>
  <si>
    <t>Фанера 12 мм (1,525х1,525); Фанера 18 мм (1,525х1,525); OSB</t>
  </si>
  <si>
    <t>Хрестовина диференціала; Вінець зубчастий; Маточина вінця зубчастого; Водило; Кришка центрального редуктора; Вісь сателіта з підшипниками; Піввісь 118.77; Піввісь 318.77; Сателіт; Маточина колеса заднього; Шестерня конічна диференціала велика; Шестерня конічна диференціала мала у зборі з втулками; Шестерня сонячна; Обкатна пара RABA 118.77; Обкатна пара RABA 318.77; Картер головної передачі 318.77; Картер головної передачі 118.77; Чашка диференціала в комплекті з болтами; Цапфа заднього колеса RABA; Фланець центрального редуктора; Стакан підшипника (втулка підшипника); Карданний вал ЗИУ; Хрестовина карданного валу ЗИУ; Карданний вал ШКОДА; Хрестовина карданного валу ШКОДА; Карданний вал ЮМЗ; Хрестовина карданного валу ЮМЗ; Карданний вал ТЗ; Хрестовина карданного валу ТЗ; Карданний вал ТЗМ (К1); Хрестовина карданного валу ТЗМ (К1); Карданний вал КТМ; Хрестовина карданного валу КТМ; Вал шестерня Z10 (Т3); Тарільчасте колесо Z 39 (Т3); Вал шестерня Z7 (Т3); Тарільчасте колесо Z 52 (Т3); Вал шестерня У202 (хвостовик КТМ); Тарільчасте колесо У221 (КТМ); Фланець редуктора (шпонка) (Т3); Фланець шліцьовий (Т3); Вал шестерня Z 18 конічна (7512)(7610) (Т3) ; Вал шестерня Z 18 шліцьова (Т3); Колесо зубчасте Z 34 (Т3); Колесо зубчасте Z 34 посилене (Т3); Втулка редуктора з гайкою посиленою (Т3); Втулка редуктора з гайкой непосиленою (Т3); Втулка одноступінчастого редуктора (Т3)</t>
  </si>
  <si>
    <t>Цемент Ольшанка 400. фасування по 25 кг</t>
  </si>
  <si>
    <t>ЧЕРНОМОРЕЦЬ ВЯЧЕСЛАВ СЕРГІЙОВИЧ</t>
  </si>
  <si>
    <t>ЧОРНА ОЛЕНА ВОЛОДИМИРІВНА</t>
  </si>
  <si>
    <t>ЧОРНОМОРСЬКА СІЛЬСЬКА РАДА</t>
  </si>
  <si>
    <t>ШАПОВАЛОВ ОЛЕКСІЙ ГРИГОРОВИЧ</t>
  </si>
  <si>
    <t>Штукатурка Master G-Start (30 кг); Шпаклівка фінішна Master Satenpro (25 кг)</t>
  </si>
  <si>
    <t>ЩЕРБИНА СВІТЛАНА МИКОЛАЇВНА</t>
  </si>
  <si>
    <t>Щебінь фракції 20-40 мм; Відсів щебню фракції 0-5 мм; Пісок митий (річковий); Пісок кар’єрний</t>
  </si>
  <si>
    <t>Щебінь фракції 20-40 мм; Відсів щебню фракції 0-5 мм; пісок митий (річковий); Пісок кар'єрний</t>
  </si>
  <si>
    <t>ЯРОШЕВИЧ АНАТОЛІЙ АНДРІЙОВИЧ</t>
  </si>
  <si>
    <t>ЯЦИК ІГОР ВОЛОДИМИРОВИЧ</t>
  </si>
  <si>
    <t>Якщо ви маєте пропозицію чи побажання щодо покращення цього звіту, напишіть нам, будь ласка:</t>
  </si>
  <si>
    <t>автомобіль спеціалізований УАЗ (KrASZ-U39ZS3)</t>
  </si>
  <si>
    <t>активний</t>
  </si>
  <si>
    <t>акумулятор Logic Power LPM-GL 12V 120AH</t>
  </si>
  <si>
    <t>акумуляторна батарея 5 KРL-125P; акумулятор 5 KPL-160P</t>
  </si>
  <si>
    <t>амортизатор, буфера, вкладиші, диски, зірочки, колеса редуктора, кільця, куб гумовий, муфти, прокладки, профіль буксовий, пильник гальмівного механізму, сайлентблок, ущільнювачі, червяки редуктора, шайби, датчики струму, контактори</t>
  </si>
  <si>
    <t>балони газові кисень, балони газові пропан-бутан, редуктори  балонні, клапани, різаки, рукав для газового зварювання та різання, хомути, шнур капроновий, дріт зварювальний</t>
  </si>
  <si>
    <t>встановлення систем охоронної сигналізації</t>
  </si>
  <si>
    <t>віброплита, мастило чотирикратне, вставки для накінечника, накінечники для газового пальника, каністри металеві вертикальні, сопла конічні</t>
  </si>
  <si>
    <t>генератори бензинові, акумулятори на бензогенератори</t>
  </si>
  <si>
    <t>екскаватор-навантажувач</t>
  </si>
  <si>
    <t>закритий</t>
  </si>
  <si>
    <t xml:space="preserve">заправка картриджа	Canon 725 до принтеру LBP-6000/6020/6030MF3010 black; заправка картриджа	Canon 703 до принтеру Canon LBP-2900/3000/ LJ1010/1012/1015/1020/3015/3020/3030mfp; заправка картриджа до принтеру	Samsung SCX-4000A до принтеру Samsung SCX-4220    ; заправка картриджа	HP LJ P2015 до принтеру HP LJ M2727nf ; заправка картриджа	CF217X до принтеру LJ Pro M102A; заправка картриджа HPQ2612A до принтеру Canon LBP-2900/3000/ LJ1010/1012/1015/1020/3015/3020/3030mfp; заправка картриджа    CF217A до принтеру LJ Pro M102/ M130; заправка картриджа 	Ineo 185 до принтеру Develop INEO 164/ 165/ 185/ 215  ; заправка картриджа  до принтеру	Brother DR-1075; заправка картриджа 	Canon 052 до принтеру  i-SENSYS MF420/421/LBP211/212; заправка картриджа	Canon 737 до принтеру i-SENSYS MF210/220/230/232/237w+чіп; відновлення картриджа	Canon 725 до принтеру LBP-6000/6020/6030MF3010 black; відновлення картриджа	Canon 703 до принтеру Canon LBP-2900/3000/ LJ1010/1012/1015/1020/3015/3020/3030mfp; відновлення картриджа	Samsung SCX-4000A до принтеру Samsung SCX-4220    ; відновлення картриджа	HP LJ P2015 до принтеру HP LJ M2727nf ; відновлення картриджа	CF217X до принтеру LJ Pro M102A; відновлення картриджа	HPQ2612A до принтеру Canon LBP-2900/3000/ LJ1010/1012/1015/1020/3015/3020/3030mfp; відновлення картриджа	CF217A до принтеру LJ Pro M102/ M130; відновлення картриджа	Ineo 185 до принтеру Develop INEO 164/ 165/ 185/ 215  ; відновлення картриджа	Brother DR-1075; відновлення картриджа	Canon 052 до принтеру  i-SENSYS MF420/421/LBP211/212; відновлення картриджа	Canon 737 до принтеру i-SENSYS MF210/220/230/232/237w+чіп; Технічне обслуговування ноутбуку (установка програмного забезпечення і налаштування, заміна комплектуючих); Технічне обслуговування ПК  (установка програмного забезпечення і налаштування, заміна комплектуючих); технічне обслуговування лазерного принтеру; технічне обслуговування багатофункційного пристрою А4; ремонт джерела безперебійного живлення, заміна АКБ; ремонт монітора </t>
  </si>
  <si>
    <t>засіб криптографічного захисту інформації «Ключ електронний «Кристал-1»</t>
  </si>
  <si>
    <t xml:space="preserve">кабелі та провід </t>
  </si>
  <si>
    <t>камера відеоспостереження HIK Vision DS-2CD2043G0I (4.0)</t>
  </si>
  <si>
    <t>камера відеоспостереження HIK Vision DS-2CD2T43G0-18; реєстратор для відеоспостереження  HIK Vision DS-7616NI-Q2 160-80</t>
  </si>
  <si>
    <t>канат сталевий оцинкований діаметр 6,8 мм</t>
  </si>
  <si>
    <t>костюми х/б, халати, краги, черевики зимові, костюми зварника, черевики, жилети сигнальні, полукомбінезони х/б, плащі-дощовики, черевики зварника, куртки ватяні, штани утеплені, чоботи жіночі утеплені</t>
  </si>
  <si>
    <t>круги алмазні, різці відрізні, різці прохідні, різці розточні, різці для накаток, різці  різьбові, воротки, свердла, комплекти кулачків до патрону, круги пп, мітчики (відповідно до специфікації до договору)</t>
  </si>
  <si>
    <t>мікропроцесорна система управління тяговим двигуном  двуосного тролейбуса постійного струму моделі SDMC  103-02.03; перетворювач  напруги контактної мережі в 3 х 380 В SDMC  103-600/380; дросель реактивний SDMC – 103- D1 Scoda для приводу тролейбуса (дросель маленький); дросель реактивний SDMC – 103- D2 Scoda для приводу тролейбуса</t>
  </si>
  <si>
    <t>перевірка схем вмикання</t>
  </si>
  <si>
    <t>поршнева головка LB50; комплект прокладок блоку  LB50; колінвал LB50; шатун боковий LB50; поршень LB50; комплект поршневих кілець ф80 LB50; пластина клапана велика LB50 LB75; пластина клапана мала LB50 LB75; плита клапана в комплекті LB50 LB75; фільтр повітряний LТ55-75; поршнева головка LB30; комплект прокладок блоку LB30; колінвал LB30; шатун боковий LB30; поршень ф65 LB30 LB40; комплект поршневих кілець LB30 LB40; плита клапана в комплекті LB30 LB40</t>
  </si>
  <si>
    <t>послуги автокрана-навантажувача</t>
  </si>
  <si>
    <t>послуги з навантаження асфальтобетонної крихти</t>
  </si>
  <si>
    <t>послуги приєднання електроустановок</t>
  </si>
  <si>
    <t>пружини двигуна нижні, пружини КПД, пружини пантографа, пружини підвіски, пружини потенціометра, пружини серцевини соленоїда, пружини силові соленоїда, пружини гальмівної колодки</t>
  </si>
  <si>
    <t>реєстратор для відеоспостереження НІК Vision DS-2CD2043 G0I</t>
  </si>
  <si>
    <t>сидіння пасажирські; сидіння водія</t>
  </si>
  <si>
    <t>тТВ-63</t>
  </si>
  <si>
    <t>товари для господарства у кількості та за номенклатурою згідно специфікації до договору</t>
  </si>
  <si>
    <t>утилізація комп'ютерної техніки, обладнання, приборів та периферійного устаткування, що підлягають списанню або виводу з експлуатації</t>
  </si>
  <si>
    <t>штатив, зчитувач, контролер для дверей, АКБ, кабель, монтажний набір, монтаж</t>
  </si>
  <si>
    <t>щічки головки струмоприймача, вставки чавунні, вкладиші головки струмоприймача, п'яти головки струмоприймача, ремкомплекти головки струмоприймача</t>
  </si>
  <si>
    <t>№</t>
  </si>
  <si>
    <t>Підписант</t>
  </si>
  <si>
    <t>В.В. Євтушенко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</si>
</sst>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4" x14ac:knownFonts="1">
    <font>
      <sz val="11"/>
      <color theme="1"/>
      <name val="Calibri"/>
      <family val="2"/>
      <scheme val="minor"/>
    </font>
    <font>
      <sz val="10"/>
      <color rgb="FF000000"/>
      <name val="Calibri"/>
      <family val="2"/>
    </font>
    <font>
      <sz val="10"/>
      <color rgb="FF0000FF"/>
      <name val="Calibri"/>
      <family val="2"/>
    </font>
    <font>
      <b/>
      <sz val="10"/>
      <color rgb="FFFFFFFF"/>
      <name val="Calibri"/>
      <family val="2"/>
    </font>
  </fonts>
  <fills count="3">
    <fill>
      <patternFill patternType="none"/>
    </fill>
    <fill>
      <patternFill patternType="gray125"/>
    </fill>
    <fill>
      <patternFill patternType="solid">
        <fgColor rgb="FF008000"/>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7">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wrapText="1"/>
    </xf>
    <xf numFmtId="1" fontId="1" fillId="0" borderId="0" xfId="0" applyNumberFormat="1" applyFont="1"/>
    <xf numFmtId="4" fontId="1" fillId="0" borderId="0" xfId="0" applyNumberFormat="1" applyFont="1"/>
    <xf numFmtId="165" fontId="1"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y.zakupki.prom.ua/remote/dispatcher/state_contracting_view/3858068" TargetMode="External"/><Relationship Id="rId299" Type="http://schemas.openxmlformats.org/officeDocument/2006/relationships/hyperlink" Target="https://my.zakupki.prom.ua/remote/dispatcher/state_contracting_view/4748092" TargetMode="External"/><Relationship Id="rId21" Type="http://schemas.openxmlformats.org/officeDocument/2006/relationships/hyperlink" Target="https://my.zakupki.prom.ua/remote/dispatcher/state_contracting_view/3678251" TargetMode="External"/><Relationship Id="rId63" Type="http://schemas.openxmlformats.org/officeDocument/2006/relationships/hyperlink" Target="https://my.zakupki.prom.ua/remote/dispatcher/state_contracting_view/3737729" TargetMode="External"/><Relationship Id="rId159" Type="http://schemas.openxmlformats.org/officeDocument/2006/relationships/hyperlink" Target="https://my.zakupki.prom.ua/remote/dispatcher/state_contracting_view/3627163" TargetMode="External"/><Relationship Id="rId324" Type="http://schemas.openxmlformats.org/officeDocument/2006/relationships/hyperlink" Target="https://my.zakupki.prom.ua/remote/dispatcher/state_purchase_view/16273143" TargetMode="External"/><Relationship Id="rId366" Type="http://schemas.openxmlformats.org/officeDocument/2006/relationships/hyperlink" Target="https://my.zakupki.prom.ua/remote/dispatcher/state_purchase_view/16205575" TargetMode="External"/><Relationship Id="rId170" Type="http://schemas.openxmlformats.org/officeDocument/2006/relationships/hyperlink" Target="https://my.zakupki.prom.ua/remote/dispatcher/state_purchase_view/17662994" TargetMode="External"/><Relationship Id="rId226" Type="http://schemas.openxmlformats.org/officeDocument/2006/relationships/hyperlink" Target="https://my.zakupki.prom.ua/remote/dispatcher/state_purchase_view/16864089" TargetMode="External"/><Relationship Id="rId433" Type="http://schemas.openxmlformats.org/officeDocument/2006/relationships/hyperlink" Target="https://my.zakupki.prom.ua/remote/dispatcher/state_contracting_view/6794514" TargetMode="External"/><Relationship Id="rId268" Type="http://schemas.openxmlformats.org/officeDocument/2006/relationships/hyperlink" Target="https://my.zakupki.prom.ua/remote/dispatcher/state_purchase_view/23403720" TargetMode="External"/><Relationship Id="rId475" Type="http://schemas.openxmlformats.org/officeDocument/2006/relationships/hyperlink" Target="https://my.zakupki.prom.ua/remote/dispatcher/state_contracting_view/3611787" TargetMode="External"/><Relationship Id="rId32" Type="http://schemas.openxmlformats.org/officeDocument/2006/relationships/hyperlink" Target="https://my.zakupki.prom.ua/remote/dispatcher/state_purchase_view/16992200" TargetMode="External"/><Relationship Id="rId74" Type="http://schemas.openxmlformats.org/officeDocument/2006/relationships/hyperlink" Target="https://my.zakupki.prom.ua/remote/dispatcher/state_purchase_view/21050309" TargetMode="External"/><Relationship Id="rId128" Type="http://schemas.openxmlformats.org/officeDocument/2006/relationships/hyperlink" Target="https://my.zakupki.prom.ua/remote/dispatcher/state_purchase_view/18736495" TargetMode="External"/><Relationship Id="rId335" Type="http://schemas.openxmlformats.org/officeDocument/2006/relationships/hyperlink" Target="https://my.zakupki.prom.ua/remote/dispatcher/state_contracting_view/4002444" TargetMode="External"/><Relationship Id="rId377" Type="http://schemas.openxmlformats.org/officeDocument/2006/relationships/hyperlink" Target="https://my.zakupki.prom.ua/remote/dispatcher/state_contracting_view/4585888" TargetMode="External"/><Relationship Id="rId500" Type="http://schemas.openxmlformats.org/officeDocument/2006/relationships/hyperlink" Target="https://my.zakupki.prom.ua/remote/dispatcher/state_purchase_view/21284732" TargetMode="External"/><Relationship Id="rId5" Type="http://schemas.openxmlformats.org/officeDocument/2006/relationships/hyperlink" Target="https://my.zakupki.prom.ua/remote/dispatcher/state_contracting_view/6090700" TargetMode="External"/><Relationship Id="rId181" Type="http://schemas.openxmlformats.org/officeDocument/2006/relationships/hyperlink" Target="https://my.zakupki.prom.ua/remote/dispatcher/state_contracting_view/5327684" TargetMode="External"/><Relationship Id="rId237" Type="http://schemas.openxmlformats.org/officeDocument/2006/relationships/hyperlink" Target="https://my.zakupki.prom.ua/remote/dispatcher/state_contracting_view/4002748" TargetMode="External"/><Relationship Id="rId402" Type="http://schemas.openxmlformats.org/officeDocument/2006/relationships/hyperlink" Target="https://my.zakupki.prom.ua/remote/dispatcher/state_purchase_view/17625212" TargetMode="External"/><Relationship Id="rId279" Type="http://schemas.openxmlformats.org/officeDocument/2006/relationships/hyperlink" Target="https://my.zakupki.prom.ua/remote/dispatcher/state_contracting_view/3697948" TargetMode="External"/><Relationship Id="rId444" Type="http://schemas.openxmlformats.org/officeDocument/2006/relationships/hyperlink" Target="https://my.zakupki.prom.ua/remote/dispatcher/state_purchase_view/15084806" TargetMode="External"/><Relationship Id="rId486" Type="http://schemas.openxmlformats.org/officeDocument/2006/relationships/hyperlink" Target="https://my.zakupki.prom.ua/remote/dispatcher/state_purchase_view/14415828" TargetMode="External"/><Relationship Id="rId43" Type="http://schemas.openxmlformats.org/officeDocument/2006/relationships/hyperlink" Target="https://my.zakupki.prom.ua/remote/dispatcher/state_contracting_view/4717403" TargetMode="External"/><Relationship Id="rId139" Type="http://schemas.openxmlformats.org/officeDocument/2006/relationships/hyperlink" Target="https://my.zakupki.prom.ua/remote/dispatcher/state_contracting_view/3984961" TargetMode="External"/><Relationship Id="rId290" Type="http://schemas.openxmlformats.org/officeDocument/2006/relationships/hyperlink" Target="https://my.zakupki.prom.ua/remote/dispatcher/state_purchase_view/20849480" TargetMode="External"/><Relationship Id="rId304" Type="http://schemas.openxmlformats.org/officeDocument/2006/relationships/hyperlink" Target="https://my.zakupki.prom.ua/remote/dispatcher/state_purchase_view/14874527" TargetMode="External"/><Relationship Id="rId346" Type="http://schemas.openxmlformats.org/officeDocument/2006/relationships/hyperlink" Target="https://my.zakupki.prom.ua/remote/dispatcher/state_purchase_view/18828470" TargetMode="External"/><Relationship Id="rId388" Type="http://schemas.openxmlformats.org/officeDocument/2006/relationships/hyperlink" Target="https://my.zakupki.prom.ua/remote/dispatcher/state_purchase_view/17784974" TargetMode="External"/><Relationship Id="rId511" Type="http://schemas.openxmlformats.org/officeDocument/2006/relationships/hyperlink" Target="https://my.zakupki.prom.ua/remote/dispatcher/state_contracting_view/5813478" TargetMode="External"/><Relationship Id="rId85" Type="http://schemas.openxmlformats.org/officeDocument/2006/relationships/hyperlink" Target="https://my.zakupki.prom.ua/remote/dispatcher/state_contracting_view/6170244" TargetMode="External"/><Relationship Id="rId150" Type="http://schemas.openxmlformats.org/officeDocument/2006/relationships/hyperlink" Target="https://my.zakupki.prom.ua/remote/dispatcher/state_purchase_view/15084468" TargetMode="External"/><Relationship Id="rId192" Type="http://schemas.openxmlformats.org/officeDocument/2006/relationships/hyperlink" Target="https://my.zakupki.prom.ua/remote/dispatcher/state_purchase_view/19065234" TargetMode="External"/><Relationship Id="rId206" Type="http://schemas.openxmlformats.org/officeDocument/2006/relationships/hyperlink" Target="https://my.zakupki.prom.ua/remote/dispatcher/state_purchase_view/14893465" TargetMode="External"/><Relationship Id="rId413" Type="http://schemas.openxmlformats.org/officeDocument/2006/relationships/hyperlink" Target="https://my.zakupki.prom.ua/remote/dispatcher/state_contracting_view/3827422" TargetMode="External"/><Relationship Id="rId248" Type="http://schemas.openxmlformats.org/officeDocument/2006/relationships/hyperlink" Target="https://my.zakupki.prom.ua/remote/dispatcher/state_purchase_view/15413503" TargetMode="External"/><Relationship Id="rId455" Type="http://schemas.openxmlformats.org/officeDocument/2006/relationships/hyperlink" Target="https://my.zakupki.prom.ua/remote/dispatcher/state_contracting_view/5926901" TargetMode="External"/><Relationship Id="rId497" Type="http://schemas.openxmlformats.org/officeDocument/2006/relationships/hyperlink" Target="https://my.zakupki.prom.ua/remote/dispatcher/state_contracting_view/5183237" TargetMode="External"/><Relationship Id="rId12" Type="http://schemas.openxmlformats.org/officeDocument/2006/relationships/hyperlink" Target="https://my.zakupki.prom.ua/remote/dispatcher/state_purchase_view/14635802" TargetMode="External"/><Relationship Id="rId108" Type="http://schemas.openxmlformats.org/officeDocument/2006/relationships/hyperlink" Target="https://my.zakupki.prom.ua/remote/dispatcher/state_purchase_view/15208043" TargetMode="External"/><Relationship Id="rId315" Type="http://schemas.openxmlformats.org/officeDocument/2006/relationships/hyperlink" Target="https://my.zakupki.prom.ua/remote/dispatcher/state_contracting_view/3619669" TargetMode="External"/><Relationship Id="rId357" Type="http://schemas.openxmlformats.org/officeDocument/2006/relationships/hyperlink" Target="https://my.zakupki.prom.ua/remote/dispatcher/state_contracting_view/6777727" TargetMode="External"/><Relationship Id="rId54" Type="http://schemas.openxmlformats.org/officeDocument/2006/relationships/hyperlink" Target="https://my.zakupki.prom.ua/remote/dispatcher/state_purchase_view/14354170" TargetMode="External"/><Relationship Id="rId96" Type="http://schemas.openxmlformats.org/officeDocument/2006/relationships/hyperlink" Target="https://my.zakupki.prom.ua/remote/dispatcher/state_purchase_view/14867706" TargetMode="External"/><Relationship Id="rId161" Type="http://schemas.openxmlformats.org/officeDocument/2006/relationships/hyperlink" Target="https://my.zakupki.prom.ua/remote/dispatcher/state_contracting_view/3894852" TargetMode="External"/><Relationship Id="rId217" Type="http://schemas.openxmlformats.org/officeDocument/2006/relationships/hyperlink" Target="https://my.zakupki.prom.ua/remote/dispatcher/state_contracting_view/5411408" TargetMode="External"/><Relationship Id="rId399" Type="http://schemas.openxmlformats.org/officeDocument/2006/relationships/hyperlink" Target="https://my.zakupki.prom.ua/remote/dispatcher/state_contracting_view/5549757" TargetMode="External"/><Relationship Id="rId259" Type="http://schemas.openxmlformats.org/officeDocument/2006/relationships/hyperlink" Target="https://my.zakupki.prom.ua/remote/dispatcher/state_contracting_view/4827074" TargetMode="External"/><Relationship Id="rId424" Type="http://schemas.openxmlformats.org/officeDocument/2006/relationships/hyperlink" Target="https://my.zakupki.prom.ua/remote/dispatcher/state_purchase_view/16133509" TargetMode="External"/><Relationship Id="rId466" Type="http://schemas.openxmlformats.org/officeDocument/2006/relationships/hyperlink" Target="https://my.zakupki.prom.ua/remote/dispatcher/state_purchase_view/19030978" TargetMode="External"/><Relationship Id="rId23" Type="http://schemas.openxmlformats.org/officeDocument/2006/relationships/hyperlink" Target="https://my.zakupki.prom.ua/remote/dispatcher/state_contracting_view/3695584" TargetMode="External"/><Relationship Id="rId119" Type="http://schemas.openxmlformats.org/officeDocument/2006/relationships/hyperlink" Target="https://my.zakupki.prom.ua/remote/dispatcher/state_contracting_view/4119696" TargetMode="External"/><Relationship Id="rId270" Type="http://schemas.openxmlformats.org/officeDocument/2006/relationships/hyperlink" Target="https://my.zakupki.prom.ua/remote/dispatcher/state_purchase_view/14718687" TargetMode="External"/><Relationship Id="rId326" Type="http://schemas.openxmlformats.org/officeDocument/2006/relationships/hyperlink" Target="https://my.zakupki.prom.ua/remote/dispatcher/state_purchase_view/16250891" TargetMode="External"/><Relationship Id="rId65" Type="http://schemas.openxmlformats.org/officeDocument/2006/relationships/hyperlink" Target="https://my.zakupki.prom.ua/remote/dispatcher/state_contracting_view/4061003" TargetMode="External"/><Relationship Id="rId130" Type="http://schemas.openxmlformats.org/officeDocument/2006/relationships/hyperlink" Target="https://my.zakupki.prom.ua/remote/dispatcher/state_purchase_view/19419982" TargetMode="External"/><Relationship Id="rId368" Type="http://schemas.openxmlformats.org/officeDocument/2006/relationships/hyperlink" Target="https://my.zakupki.prom.ua/remote/dispatcher/state_purchase_view/16511006" TargetMode="External"/><Relationship Id="rId172" Type="http://schemas.openxmlformats.org/officeDocument/2006/relationships/hyperlink" Target="https://my.zakupki.prom.ua/remote/dispatcher/state_purchase_view/17625252" TargetMode="External"/><Relationship Id="rId228" Type="http://schemas.openxmlformats.org/officeDocument/2006/relationships/hyperlink" Target="https://my.zakupki.prom.ua/remote/dispatcher/state_purchase_view/19546948" TargetMode="External"/><Relationship Id="rId435" Type="http://schemas.openxmlformats.org/officeDocument/2006/relationships/hyperlink" Target="https://my.zakupki.prom.ua/remote/dispatcher/state_contracting_view/7013285" TargetMode="External"/><Relationship Id="rId477" Type="http://schemas.openxmlformats.org/officeDocument/2006/relationships/hyperlink" Target="https://my.zakupki.prom.ua/remote/dispatcher/state_contracting_view/3611795" TargetMode="External"/><Relationship Id="rId281" Type="http://schemas.openxmlformats.org/officeDocument/2006/relationships/hyperlink" Target="https://my.zakupki.prom.ua/remote/dispatcher/state_contracting_view/6620615" TargetMode="External"/><Relationship Id="rId337" Type="http://schemas.openxmlformats.org/officeDocument/2006/relationships/hyperlink" Target="https://my.zakupki.prom.ua/remote/dispatcher/state_contracting_view/4206277" TargetMode="External"/><Relationship Id="rId502" Type="http://schemas.openxmlformats.org/officeDocument/2006/relationships/hyperlink" Target="https://my.zakupki.prom.ua/remote/dispatcher/state_purchase_view/21653029" TargetMode="External"/><Relationship Id="rId34" Type="http://schemas.openxmlformats.org/officeDocument/2006/relationships/hyperlink" Target="https://my.zakupki.prom.ua/remote/dispatcher/state_purchase_view/16990671" TargetMode="External"/><Relationship Id="rId76" Type="http://schemas.openxmlformats.org/officeDocument/2006/relationships/hyperlink" Target="https://my.zakupki.prom.ua/remote/dispatcher/state_purchase_view/15744146" TargetMode="External"/><Relationship Id="rId141" Type="http://schemas.openxmlformats.org/officeDocument/2006/relationships/hyperlink" Target="https://my.zakupki.prom.ua/remote/dispatcher/state_contracting_view/4010695" TargetMode="External"/><Relationship Id="rId379" Type="http://schemas.openxmlformats.org/officeDocument/2006/relationships/hyperlink" Target="https://my.zakupki.prom.ua/remote/dispatcher/state_contracting_view/5647449" TargetMode="External"/><Relationship Id="rId7" Type="http://schemas.openxmlformats.org/officeDocument/2006/relationships/hyperlink" Target="https://my.zakupki.prom.ua/remote/dispatcher/state_contracting_view/5701409" TargetMode="External"/><Relationship Id="rId183" Type="http://schemas.openxmlformats.org/officeDocument/2006/relationships/hyperlink" Target="https://my.zakupki.prom.ua/remote/dispatcher/state_contracting_view/5067922" TargetMode="External"/><Relationship Id="rId239" Type="http://schemas.openxmlformats.org/officeDocument/2006/relationships/hyperlink" Target="https://my.zakupki.prom.ua/remote/dispatcher/state_contracting_view/4009858" TargetMode="External"/><Relationship Id="rId390" Type="http://schemas.openxmlformats.org/officeDocument/2006/relationships/hyperlink" Target="https://my.zakupki.prom.ua/remote/dispatcher/state_purchase_view/17792308" TargetMode="External"/><Relationship Id="rId404" Type="http://schemas.openxmlformats.org/officeDocument/2006/relationships/hyperlink" Target="https://my.zakupki.prom.ua/remote/dispatcher/state_purchase_view/18830902" TargetMode="External"/><Relationship Id="rId446" Type="http://schemas.openxmlformats.org/officeDocument/2006/relationships/hyperlink" Target="https://my.zakupki.prom.ua/remote/dispatcher/state_purchase_view/14894102" TargetMode="External"/><Relationship Id="rId250" Type="http://schemas.openxmlformats.org/officeDocument/2006/relationships/hyperlink" Target="https://my.zakupki.prom.ua/remote/dispatcher/state_purchase_view/19413567" TargetMode="External"/><Relationship Id="rId292" Type="http://schemas.openxmlformats.org/officeDocument/2006/relationships/hyperlink" Target="https://my.zakupki.prom.ua/remote/dispatcher/state_purchase_view/17372425" TargetMode="External"/><Relationship Id="rId306" Type="http://schemas.openxmlformats.org/officeDocument/2006/relationships/hyperlink" Target="https://my.zakupki.prom.ua/remote/dispatcher/state_purchase_view/14673374" TargetMode="External"/><Relationship Id="rId488" Type="http://schemas.openxmlformats.org/officeDocument/2006/relationships/hyperlink" Target="https://my.zakupki.prom.ua/remote/dispatcher/state_purchase_view/14492180" TargetMode="External"/><Relationship Id="rId45" Type="http://schemas.openxmlformats.org/officeDocument/2006/relationships/hyperlink" Target="https://my.zakupki.prom.ua/remote/dispatcher/state_contracting_view/4609719" TargetMode="External"/><Relationship Id="rId87" Type="http://schemas.openxmlformats.org/officeDocument/2006/relationships/hyperlink" Target="https://my.zakupki.prom.ua/remote/dispatcher/state_contracting_view/6546507" TargetMode="External"/><Relationship Id="rId110" Type="http://schemas.openxmlformats.org/officeDocument/2006/relationships/hyperlink" Target="https://my.zakupki.prom.ua/remote/dispatcher/state_purchase_view/15847167" TargetMode="External"/><Relationship Id="rId348" Type="http://schemas.openxmlformats.org/officeDocument/2006/relationships/hyperlink" Target="https://my.zakupki.prom.ua/remote/dispatcher/state_purchase_view/18956842" TargetMode="External"/><Relationship Id="rId513" Type="http://schemas.openxmlformats.org/officeDocument/2006/relationships/hyperlink" Target="https://my.zakupki.prom.ua/remote/dispatcher/state_contracting_view/5236290" TargetMode="External"/><Relationship Id="rId152" Type="http://schemas.openxmlformats.org/officeDocument/2006/relationships/hyperlink" Target="https://my.zakupki.prom.ua/remote/dispatcher/state_purchase_view/15010195" TargetMode="External"/><Relationship Id="rId194" Type="http://schemas.openxmlformats.org/officeDocument/2006/relationships/hyperlink" Target="https://my.zakupki.prom.ua/remote/dispatcher/state_purchase_view/18793063" TargetMode="External"/><Relationship Id="rId208" Type="http://schemas.openxmlformats.org/officeDocument/2006/relationships/hyperlink" Target="https://my.zakupki.prom.ua/remote/dispatcher/state_purchase_view/15418219" TargetMode="External"/><Relationship Id="rId415" Type="http://schemas.openxmlformats.org/officeDocument/2006/relationships/hyperlink" Target="https://my.zakupki.prom.ua/remote/dispatcher/state_contracting_view/3894793" TargetMode="External"/><Relationship Id="rId457" Type="http://schemas.openxmlformats.org/officeDocument/2006/relationships/hyperlink" Target="https://my.zakupki.prom.ua/remote/dispatcher/state_contracting_view/6227713" TargetMode="External"/><Relationship Id="rId261" Type="http://schemas.openxmlformats.org/officeDocument/2006/relationships/hyperlink" Target="https://my.zakupki.prom.ua/remote/dispatcher/state_contracting_view/3608392" TargetMode="External"/><Relationship Id="rId499" Type="http://schemas.openxmlformats.org/officeDocument/2006/relationships/hyperlink" Target="https://my.zakupki.prom.ua/remote/dispatcher/state_contracting_view/4440106" TargetMode="External"/><Relationship Id="rId14" Type="http://schemas.openxmlformats.org/officeDocument/2006/relationships/hyperlink" Target="https://my.zakupki.prom.ua/remote/dispatcher/state_purchase_view/14718880" TargetMode="External"/><Relationship Id="rId35" Type="http://schemas.openxmlformats.org/officeDocument/2006/relationships/hyperlink" Target="https://my.zakupki.prom.ua/remote/dispatcher/state_contracting_view/4418295" TargetMode="External"/><Relationship Id="rId56" Type="http://schemas.openxmlformats.org/officeDocument/2006/relationships/hyperlink" Target="https://my.zakupki.prom.ua/remote/dispatcher/state_purchase_view/14636288" TargetMode="External"/><Relationship Id="rId77" Type="http://schemas.openxmlformats.org/officeDocument/2006/relationships/hyperlink" Target="https://my.zakupki.prom.ua/remote/dispatcher/state_contracting_view/4081759" TargetMode="External"/><Relationship Id="rId100" Type="http://schemas.openxmlformats.org/officeDocument/2006/relationships/hyperlink" Target="https://my.zakupki.prom.ua/remote/dispatcher/state_purchase_view/17737316" TargetMode="External"/><Relationship Id="rId282" Type="http://schemas.openxmlformats.org/officeDocument/2006/relationships/hyperlink" Target="https://my.zakupki.prom.ua/remote/dispatcher/state_purchase_view/20630721" TargetMode="External"/><Relationship Id="rId317" Type="http://schemas.openxmlformats.org/officeDocument/2006/relationships/hyperlink" Target="https://my.zakupki.prom.ua/remote/dispatcher/state_contracting_view/6382208" TargetMode="External"/><Relationship Id="rId338" Type="http://schemas.openxmlformats.org/officeDocument/2006/relationships/hyperlink" Target="https://my.zakupki.prom.ua/remote/dispatcher/state_purchase_view/20181613" TargetMode="External"/><Relationship Id="rId359" Type="http://schemas.openxmlformats.org/officeDocument/2006/relationships/hyperlink" Target="https://my.zakupki.prom.ua/remote/dispatcher/state_contracting_view/3619592" TargetMode="External"/><Relationship Id="rId503" Type="http://schemas.openxmlformats.org/officeDocument/2006/relationships/hyperlink" Target="https://my.zakupki.prom.ua/remote/dispatcher/state_contracting_view/6612518" TargetMode="External"/><Relationship Id="rId8" Type="http://schemas.openxmlformats.org/officeDocument/2006/relationships/hyperlink" Target="https://my.zakupki.prom.ua/remote/dispatcher/state_purchase_view/14354158" TargetMode="External"/><Relationship Id="rId98" Type="http://schemas.openxmlformats.org/officeDocument/2006/relationships/hyperlink" Target="https://my.zakupki.prom.ua/remote/dispatcher/state_purchase_view/20120934" TargetMode="External"/><Relationship Id="rId121" Type="http://schemas.openxmlformats.org/officeDocument/2006/relationships/hyperlink" Target="https://my.zakupki.prom.ua/remote/dispatcher/state_contracting_view/5903315" TargetMode="External"/><Relationship Id="rId142" Type="http://schemas.openxmlformats.org/officeDocument/2006/relationships/hyperlink" Target="https://my.zakupki.prom.ua/remote/dispatcher/state_purchase_view/14718777" TargetMode="External"/><Relationship Id="rId163" Type="http://schemas.openxmlformats.org/officeDocument/2006/relationships/hyperlink" Target="https://my.zakupki.prom.ua/remote/dispatcher/state_contracting_view/5590947" TargetMode="External"/><Relationship Id="rId184" Type="http://schemas.openxmlformats.org/officeDocument/2006/relationships/hyperlink" Target="https://my.zakupki.prom.ua/remote/dispatcher/state_purchase_view/16772838" TargetMode="External"/><Relationship Id="rId219" Type="http://schemas.openxmlformats.org/officeDocument/2006/relationships/hyperlink" Target="https://my.zakupki.prom.ua/remote/dispatcher/state_contracting_view/4812781" TargetMode="External"/><Relationship Id="rId370" Type="http://schemas.openxmlformats.org/officeDocument/2006/relationships/hyperlink" Target="https://my.zakupki.prom.ua/remote/dispatcher/state_purchase_view/15116511" TargetMode="External"/><Relationship Id="rId391" Type="http://schemas.openxmlformats.org/officeDocument/2006/relationships/hyperlink" Target="https://my.zakupki.prom.ua/remote/dispatcher/state_contracting_view/4788959" TargetMode="External"/><Relationship Id="rId405" Type="http://schemas.openxmlformats.org/officeDocument/2006/relationships/hyperlink" Target="https://my.zakupki.prom.ua/remote/dispatcher/state_contracting_view/5550314" TargetMode="External"/><Relationship Id="rId426" Type="http://schemas.openxmlformats.org/officeDocument/2006/relationships/hyperlink" Target="https://my.zakupki.prom.ua/remote/dispatcher/state_purchase_view/17061030" TargetMode="External"/><Relationship Id="rId447" Type="http://schemas.openxmlformats.org/officeDocument/2006/relationships/hyperlink" Target="https://my.zakupki.prom.ua/remote/dispatcher/state_contracting_view/3705735" TargetMode="External"/><Relationship Id="rId230" Type="http://schemas.openxmlformats.org/officeDocument/2006/relationships/hyperlink" Target="https://my.zakupki.prom.ua/remote/dispatcher/state_purchase_view/17405691" TargetMode="External"/><Relationship Id="rId251" Type="http://schemas.openxmlformats.org/officeDocument/2006/relationships/hyperlink" Target="https://my.zakupki.prom.ua/remote/dispatcher/state_contracting_view/5552123" TargetMode="External"/><Relationship Id="rId468" Type="http://schemas.openxmlformats.org/officeDocument/2006/relationships/hyperlink" Target="https://my.zakupki.prom.ua/remote/dispatcher/state_purchase_view/18631609" TargetMode="External"/><Relationship Id="rId489" Type="http://schemas.openxmlformats.org/officeDocument/2006/relationships/hyperlink" Target="https://my.zakupki.prom.ua/remote/dispatcher/state_contracting_view/3630928" TargetMode="External"/><Relationship Id="rId25" Type="http://schemas.openxmlformats.org/officeDocument/2006/relationships/hyperlink" Target="https://my.zakupki.prom.ua/remote/dispatcher/state_contracting_view/4061241" TargetMode="External"/><Relationship Id="rId46" Type="http://schemas.openxmlformats.org/officeDocument/2006/relationships/hyperlink" Target="https://my.zakupki.prom.ua/remote/dispatcher/state_purchase_view/19913855" TargetMode="External"/><Relationship Id="rId67" Type="http://schemas.openxmlformats.org/officeDocument/2006/relationships/hyperlink" Target="https://my.zakupki.prom.ua/remote/dispatcher/state_contracting_view/3902975" TargetMode="External"/><Relationship Id="rId272" Type="http://schemas.openxmlformats.org/officeDocument/2006/relationships/hyperlink" Target="https://my.zakupki.prom.ua/remote/dispatcher/state_purchase_view/14415854" TargetMode="External"/><Relationship Id="rId293" Type="http://schemas.openxmlformats.org/officeDocument/2006/relationships/hyperlink" Target="https://my.zakupki.prom.ua/remote/dispatcher/state_contracting_view/4601733" TargetMode="External"/><Relationship Id="rId307" Type="http://schemas.openxmlformats.org/officeDocument/2006/relationships/hyperlink" Target="https://my.zakupki.prom.ua/remote/dispatcher/state_contracting_view/3660926" TargetMode="External"/><Relationship Id="rId328" Type="http://schemas.openxmlformats.org/officeDocument/2006/relationships/hyperlink" Target="https://my.zakupki.prom.ua/remote/dispatcher/state_purchase_view/17024072" TargetMode="External"/><Relationship Id="rId349" Type="http://schemas.openxmlformats.org/officeDocument/2006/relationships/hyperlink" Target="https://my.zakupki.prom.ua/remote/dispatcher/state_contracting_view/5550147" TargetMode="External"/><Relationship Id="rId514" Type="http://schemas.openxmlformats.org/officeDocument/2006/relationships/hyperlink" Target="https://my.zakupki.prom.ua/remote/dispatcher/state_purchase_view/19621210" TargetMode="External"/><Relationship Id="rId88" Type="http://schemas.openxmlformats.org/officeDocument/2006/relationships/hyperlink" Target="https://my.zakupki.prom.ua/remote/dispatcher/state_purchase_view/20834067" TargetMode="External"/><Relationship Id="rId111" Type="http://schemas.openxmlformats.org/officeDocument/2006/relationships/hyperlink" Target="https://my.zakupki.prom.ua/remote/dispatcher/state_contracting_view/3964903" TargetMode="External"/><Relationship Id="rId132" Type="http://schemas.openxmlformats.org/officeDocument/2006/relationships/hyperlink" Target="https://my.zakupki.prom.ua/remote/dispatcher/state_purchase_view/19453800" TargetMode="External"/><Relationship Id="rId153" Type="http://schemas.openxmlformats.org/officeDocument/2006/relationships/hyperlink" Target="https://my.zakupki.prom.ua/remote/dispatcher/state_contracting_view/3730767" TargetMode="External"/><Relationship Id="rId174" Type="http://schemas.openxmlformats.org/officeDocument/2006/relationships/hyperlink" Target="https://my.zakupki.prom.ua/remote/dispatcher/state_purchase_view/17202314" TargetMode="External"/><Relationship Id="rId195" Type="http://schemas.openxmlformats.org/officeDocument/2006/relationships/hyperlink" Target="https://my.zakupki.prom.ua/remote/dispatcher/state_contracting_view/5258615" TargetMode="External"/><Relationship Id="rId209" Type="http://schemas.openxmlformats.org/officeDocument/2006/relationships/hyperlink" Target="https://my.zakupki.prom.ua/remote/dispatcher/state_contracting_view/3836003" TargetMode="External"/><Relationship Id="rId360" Type="http://schemas.openxmlformats.org/officeDocument/2006/relationships/hyperlink" Target="https://my.zakupki.prom.ua/remote/dispatcher/state_purchase_view/14673039" TargetMode="External"/><Relationship Id="rId381" Type="http://schemas.openxmlformats.org/officeDocument/2006/relationships/hyperlink" Target="https://my.zakupki.prom.ua/remote/dispatcher/state_contracting_view/5471217" TargetMode="External"/><Relationship Id="rId416" Type="http://schemas.openxmlformats.org/officeDocument/2006/relationships/hyperlink" Target="https://my.zakupki.prom.ua/remote/dispatcher/state_purchase_view/18913473" TargetMode="External"/><Relationship Id="rId220" Type="http://schemas.openxmlformats.org/officeDocument/2006/relationships/hyperlink" Target="https://my.zakupki.prom.ua/remote/dispatcher/state_purchase_view/19698845" TargetMode="External"/><Relationship Id="rId241" Type="http://schemas.openxmlformats.org/officeDocument/2006/relationships/hyperlink" Target="https://my.zakupki.prom.ua/remote/dispatcher/state_contracting_view/4125317" TargetMode="External"/><Relationship Id="rId437" Type="http://schemas.openxmlformats.org/officeDocument/2006/relationships/hyperlink" Target="https://my.zakupki.prom.ua/remote/dispatcher/state_contracting_view/6795360" TargetMode="External"/><Relationship Id="rId458" Type="http://schemas.openxmlformats.org/officeDocument/2006/relationships/hyperlink" Target="https://my.zakupki.prom.ua/remote/dispatcher/state_purchase_view/14369610" TargetMode="External"/><Relationship Id="rId479" Type="http://schemas.openxmlformats.org/officeDocument/2006/relationships/hyperlink" Target="https://my.zakupki.prom.ua/remote/dispatcher/state_contracting_view/3617081" TargetMode="External"/><Relationship Id="rId15" Type="http://schemas.openxmlformats.org/officeDocument/2006/relationships/hyperlink" Target="https://my.zakupki.prom.ua/remote/dispatcher/state_contracting_view/3669199" TargetMode="External"/><Relationship Id="rId36" Type="http://schemas.openxmlformats.org/officeDocument/2006/relationships/hyperlink" Target="https://my.zakupki.prom.ua/remote/dispatcher/state_purchase_view/16950590" TargetMode="External"/><Relationship Id="rId57" Type="http://schemas.openxmlformats.org/officeDocument/2006/relationships/hyperlink" Target="https://my.zakupki.prom.ua/remote/dispatcher/state_contracting_view/3652265" TargetMode="External"/><Relationship Id="rId262" Type="http://schemas.openxmlformats.org/officeDocument/2006/relationships/hyperlink" Target="https://my.zakupki.prom.ua/remote/dispatcher/state_purchase_view/14354105" TargetMode="External"/><Relationship Id="rId283" Type="http://schemas.openxmlformats.org/officeDocument/2006/relationships/hyperlink" Target="https://my.zakupki.prom.ua/remote/dispatcher/state_contracting_view/6132990" TargetMode="External"/><Relationship Id="rId318" Type="http://schemas.openxmlformats.org/officeDocument/2006/relationships/hyperlink" Target="https://my.zakupki.prom.ua/remote/dispatcher/state_purchase_view/17964907" TargetMode="External"/><Relationship Id="rId339" Type="http://schemas.openxmlformats.org/officeDocument/2006/relationships/hyperlink" Target="https://my.zakupki.prom.ua/remote/dispatcher/state_contracting_view/5913680" TargetMode="External"/><Relationship Id="rId490" Type="http://schemas.openxmlformats.org/officeDocument/2006/relationships/hyperlink" Target="https://my.zakupki.prom.ua/remote/dispatcher/state_purchase_view/14354145" TargetMode="External"/><Relationship Id="rId504" Type="http://schemas.openxmlformats.org/officeDocument/2006/relationships/hyperlink" Target="https://my.zakupki.prom.ua/remote/dispatcher/state_purchase_view/14403275" TargetMode="External"/><Relationship Id="rId78" Type="http://schemas.openxmlformats.org/officeDocument/2006/relationships/hyperlink" Target="https://my.zakupki.prom.ua/remote/dispatcher/state_purchase_view/19652544" TargetMode="External"/><Relationship Id="rId99" Type="http://schemas.openxmlformats.org/officeDocument/2006/relationships/hyperlink" Target="https://my.zakupki.prom.ua/remote/dispatcher/state_contracting_view/5889118" TargetMode="External"/><Relationship Id="rId101" Type="http://schemas.openxmlformats.org/officeDocument/2006/relationships/hyperlink" Target="https://my.zakupki.prom.ua/remote/dispatcher/state_contracting_view/4763206" TargetMode="External"/><Relationship Id="rId122" Type="http://schemas.openxmlformats.org/officeDocument/2006/relationships/hyperlink" Target="https://my.zakupki.prom.ua/remote/dispatcher/state_purchase_view/18277302" TargetMode="External"/><Relationship Id="rId143" Type="http://schemas.openxmlformats.org/officeDocument/2006/relationships/hyperlink" Target="https://my.zakupki.prom.ua/remote/dispatcher/state_contracting_view/3669141" TargetMode="External"/><Relationship Id="rId164" Type="http://schemas.openxmlformats.org/officeDocument/2006/relationships/hyperlink" Target="https://my.zakupki.prom.ua/remote/dispatcher/state_purchase_view/20543696" TargetMode="External"/><Relationship Id="rId185" Type="http://schemas.openxmlformats.org/officeDocument/2006/relationships/hyperlink" Target="https://my.zakupki.prom.ua/remote/dispatcher/state_contracting_view/4687277" TargetMode="External"/><Relationship Id="rId350" Type="http://schemas.openxmlformats.org/officeDocument/2006/relationships/hyperlink" Target="https://my.zakupki.prom.ua/remote/dispatcher/state_purchase_view/17335416" TargetMode="External"/><Relationship Id="rId371" Type="http://schemas.openxmlformats.org/officeDocument/2006/relationships/hyperlink" Target="https://my.zakupki.prom.ua/remote/dispatcher/state_contracting_view/3756922" TargetMode="External"/><Relationship Id="rId406" Type="http://schemas.openxmlformats.org/officeDocument/2006/relationships/hyperlink" Target="https://my.zakupki.prom.ua/remote/dispatcher/state_purchase_view/14354054" TargetMode="External"/><Relationship Id="rId9" Type="http://schemas.openxmlformats.org/officeDocument/2006/relationships/hyperlink" Target="https://my.zakupki.prom.ua/remote/dispatcher/state_contracting_view/3608421" TargetMode="External"/><Relationship Id="rId210" Type="http://schemas.openxmlformats.org/officeDocument/2006/relationships/hyperlink" Target="https://my.zakupki.prom.ua/remote/dispatcher/state_purchase_view/15788407" TargetMode="External"/><Relationship Id="rId392" Type="http://schemas.openxmlformats.org/officeDocument/2006/relationships/hyperlink" Target="https://my.zakupki.prom.ua/remote/dispatcher/state_purchase_view/18392510" TargetMode="External"/><Relationship Id="rId427" Type="http://schemas.openxmlformats.org/officeDocument/2006/relationships/hyperlink" Target="https://my.zakupki.prom.ua/remote/dispatcher/state_contracting_view/4451363" TargetMode="External"/><Relationship Id="rId448" Type="http://schemas.openxmlformats.org/officeDocument/2006/relationships/hyperlink" Target="https://my.zakupki.prom.ua/remote/dispatcher/state_purchase_view/16299101" TargetMode="External"/><Relationship Id="rId469" Type="http://schemas.openxmlformats.org/officeDocument/2006/relationships/hyperlink" Target="https://my.zakupki.prom.ua/remote/dispatcher/state_contracting_view/5313257" TargetMode="External"/><Relationship Id="rId26" Type="http://schemas.openxmlformats.org/officeDocument/2006/relationships/hyperlink" Target="https://my.zakupki.prom.ua/remote/dispatcher/state_purchase_view/15914755" TargetMode="External"/><Relationship Id="rId231" Type="http://schemas.openxmlformats.org/officeDocument/2006/relationships/hyperlink" Target="https://my.zakupki.prom.ua/remote/dispatcher/state_contracting_view/4609172" TargetMode="External"/><Relationship Id="rId252" Type="http://schemas.openxmlformats.org/officeDocument/2006/relationships/hyperlink" Target="https://my.zakupki.prom.ua/remote/dispatcher/state_purchase_view/16862466" TargetMode="External"/><Relationship Id="rId273" Type="http://schemas.openxmlformats.org/officeDocument/2006/relationships/hyperlink" Target="https://my.zakupki.prom.ua/remote/dispatcher/state_contracting_view/3619573" TargetMode="External"/><Relationship Id="rId294" Type="http://schemas.openxmlformats.org/officeDocument/2006/relationships/hyperlink" Target="https://my.zakupki.prom.ua/remote/dispatcher/state_purchase_view/18463125" TargetMode="External"/><Relationship Id="rId308" Type="http://schemas.openxmlformats.org/officeDocument/2006/relationships/hyperlink" Target="https://my.zakupki.prom.ua/remote/dispatcher/state_purchase_view/14673441" TargetMode="External"/><Relationship Id="rId329" Type="http://schemas.openxmlformats.org/officeDocument/2006/relationships/hyperlink" Target="https://my.zakupki.prom.ua/remote/dispatcher/state_contracting_view/4433797" TargetMode="External"/><Relationship Id="rId480" Type="http://schemas.openxmlformats.org/officeDocument/2006/relationships/hyperlink" Target="https://my.zakupki.prom.ua/remote/dispatcher/state_purchase_view/14941235" TargetMode="External"/><Relationship Id="rId515" Type="http://schemas.openxmlformats.org/officeDocument/2006/relationships/hyperlink" Target="https://my.zakupki.prom.ua/remote/dispatcher/state_contracting_view/5760525" TargetMode="External"/><Relationship Id="rId47" Type="http://schemas.openxmlformats.org/officeDocument/2006/relationships/hyperlink" Target="https://my.zakupki.prom.ua/remote/dispatcher/state_contracting_view/5787690" TargetMode="External"/><Relationship Id="rId68" Type="http://schemas.openxmlformats.org/officeDocument/2006/relationships/hyperlink" Target="https://my.zakupki.prom.ua/remote/dispatcher/state_purchase_view/16986388" TargetMode="External"/><Relationship Id="rId89" Type="http://schemas.openxmlformats.org/officeDocument/2006/relationships/hyperlink" Target="https://my.zakupki.prom.ua/remote/dispatcher/state_contracting_view/6243120" TargetMode="External"/><Relationship Id="rId112" Type="http://schemas.openxmlformats.org/officeDocument/2006/relationships/hyperlink" Target="https://my.zakupki.prom.ua/remote/dispatcher/state_purchase_view/16027180" TargetMode="External"/><Relationship Id="rId133" Type="http://schemas.openxmlformats.org/officeDocument/2006/relationships/hyperlink" Target="https://my.zakupki.prom.ua/remote/dispatcher/state_contracting_view/5812379" TargetMode="External"/><Relationship Id="rId154" Type="http://schemas.openxmlformats.org/officeDocument/2006/relationships/hyperlink" Target="https://my.zakupki.prom.ua/remote/dispatcher/state_purchase_view/15538363" TargetMode="External"/><Relationship Id="rId175" Type="http://schemas.openxmlformats.org/officeDocument/2006/relationships/hyperlink" Target="https://my.zakupki.prom.ua/remote/dispatcher/state_contracting_view/4515515" TargetMode="External"/><Relationship Id="rId340" Type="http://schemas.openxmlformats.org/officeDocument/2006/relationships/hyperlink" Target="https://my.zakupki.prom.ua/remote/dispatcher/state_purchase_view/20716596" TargetMode="External"/><Relationship Id="rId361" Type="http://schemas.openxmlformats.org/officeDocument/2006/relationships/hyperlink" Target="https://my.zakupki.prom.ua/remote/dispatcher/state_contracting_view/3660808" TargetMode="External"/><Relationship Id="rId196" Type="http://schemas.openxmlformats.org/officeDocument/2006/relationships/hyperlink" Target="https://my.zakupki.prom.ua/remote/dispatcher/state_purchase_view/17089015" TargetMode="External"/><Relationship Id="rId200" Type="http://schemas.openxmlformats.org/officeDocument/2006/relationships/hyperlink" Target="https://my.zakupki.prom.ua/remote/dispatcher/state_purchase_view/16901591" TargetMode="External"/><Relationship Id="rId382" Type="http://schemas.openxmlformats.org/officeDocument/2006/relationships/hyperlink" Target="https://my.zakupki.prom.ua/remote/dispatcher/state_purchase_view/20998119" TargetMode="External"/><Relationship Id="rId417" Type="http://schemas.openxmlformats.org/officeDocument/2006/relationships/hyperlink" Target="https://my.zakupki.prom.ua/remote/dispatcher/state_contracting_view/5315344" TargetMode="External"/><Relationship Id="rId438" Type="http://schemas.openxmlformats.org/officeDocument/2006/relationships/hyperlink" Target="https://my.zakupki.prom.ua/remote/dispatcher/state_purchase_view/14841886" TargetMode="External"/><Relationship Id="rId459" Type="http://schemas.openxmlformats.org/officeDocument/2006/relationships/hyperlink" Target="https://my.zakupki.prom.ua/remote/dispatcher/state_contracting_view/3611816" TargetMode="External"/><Relationship Id="rId16" Type="http://schemas.openxmlformats.org/officeDocument/2006/relationships/hyperlink" Target="https://my.zakupki.prom.ua/remote/dispatcher/state_purchase_view/15008124" TargetMode="External"/><Relationship Id="rId221" Type="http://schemas.openxmlformats.org/officeDocument/2006/relationships/hyperlink" Target="https://my.zakupki.prom.ua/remote/dispatcher/state_contracting_view/6170023" TargetMode="External"/><Relationship Id="rId242" Type="http://schemas.openxmlformats.org/officeDocument/2006/relationships/hyperlink" Target="https://my.zakupki.prom.ua/remote/dispatcher/state_purchase_view/16218955" TargetMode="External"/><Relationship Id="rId263" Type="http://schemas.openxmlformats.org/officeDocument/2006/relationships/hyperlink" Target="https://my.zakupki.prom.ua/remote/dispatcher/state_contracting_view/3608410" TargetMode="External"/><Relationship Id="rId284" Type="http://schemas.openxmlformats.org/officeDocument/2006/relationships/hyperlink" Target="https://my.zakupki.prom.ua/remote/dispatcher/state_purchase_view/21955855" TargetMode="External"/><Relationship Id="rId319" Type="http://schemas.openxmlformats.org/officeDocument/2006/relationships/hyperlink" Target="https://my.zakupki.prom.ua/remote/dispatcher/state_contracting_view/4871474" TargetMode="External"/><Relationship Id="rId470" Type="http://schemas.openxmlformats.org/officeDocument/2006/relationships/hyperlink" Target="https://my.zakupki.prom.ua/remote/dispatcher/state_purchase_view/16713705" TargetMode="External"/><Relationship Id="rId491" Type="http://schemas.openxmlformats.org/officeDocument/2006/relationships/hyperlink" Target="https://my.zakupki.prom.ua/remote/dispatcher/state_contracting_view/3608418" TargetMode="External"/><Relationship Id="rId505" Type="http://schemas.openxmlformats.org/officeDocument/2006/relationships/hyperlink" Target="https://my.zakupki.prom.ua/remote/dispatcher/state_contracting_view/3617058" TargetMode="External"/><Relationship Id="rId37" Type="http://schemas.openxmlformats.org/officeDocument/2006/relationships/hyperlink" Target="https://my.zakupki.prom.ua/remote/dispatcher/state_contracting_view/4400523" TargetMode="External"/><Relationship Id="rId58" Type="http://schemas.openxmlformats.org/officeDocument/2006/relationships/hyperlink" Target="https://my.zakupki.prom.ua/remote/dispatcher/state_purchase_view/15303107" TargetMode="External"/><Relationship Id="rId79" Type="http://schemas.openxmlformats.org/officeDocument/2006/relationships/hyperlink" Target="https://my.zakupki.prom.ua/remote/dispatcher/state_contracting_view/6130526" TargetMode="External"/><Relationship Id="rId102" Type="http://schemas.openxmlformats.org/officeDocument/2006/relationships/hyperlink" Target="https://my.zakupki.prom.ua/remote/dispatcher/state_purchase_view/14465881" TargetMode="External"/><Relationship Id="rId123" Type="http://schemas.openxmlformats.org/officeDocument/2006/relationships/hyperlink" Target="https://my.zakupki.prom.ua/remote/dispatcher/state_contracting_view/5376513" TargetMode="External"/><Relationship Id="rId144" Type="http://schemas.openxmlformats.org/officeDocument/2006/relationships/hyperlink" Target="https://my.zakupki.prom.ua/remote/dispatcher/state_purchase_view/14536146" TargetMode="External"/><Relationship Id="rId330" Type="http://schemas.openxmlformats.org/officeDocument/2006/relationships/hyperlink" Target="https://my.zakupki.prom.ua/remote/dispatcher/state_purchase_view/17353472" TargetMode="External"/><Relationship Id="rId90" Type="http://schemas.openxmlformats.org/officeDocument/2006/relationships/hyperlink" Target="https://my.zakupki.prom.ua/remote/dispatcher/state_purchase_view/16787197" TargetMode="External"/><Relationship Id="rId165" Type="http://schemas.openxmlformats.org/officeDocument/2006/relationships/hyperlink" Target="https://my.zakupki.prom.ua/remote/dispatcher/state_contracting_view/6091465" TargetMode="External"/><Relationship Id="rId186" Type="http://schemas.openxmlformats.org/officeDocument/2006/relationships/hyperlink" Target="https://my.zakupki.prom.ua/remote/dispatcher/state_purchase_view/21191306" TargetMode="External"/><Relationship Id="rId351" Type="http://schemas.openxmlformats.org/officeDocument/2006/relationships/hyperlink" Target="https://my.zakupki.prom.ua/remote/dispatcher/state_contracting_view/4858733" TargetMode="External"/><Relationship Id="rId372" Type="http://schemas.openxmlformats.org/officeDocument/2006/relationships/hyperlink" Target="https://my.zakupki.prom.ua/remote/dispatcher/state_purchase_view/15913343" TargetMode="External"/><Relationship Id="rId393" Type="http://schemas.openxmlformats.org/officeDocument/2006/relationships/hyperlink" Target="https://my.zakupki.prom.ua/remote/dispatcher/state_contracting_view/5069567" TargetMode="External"/><Relationship Id="rId407" Type="http://schemas.openxmlformats.org/officeDocument/2006/relationships/hyperlink" Target="https://my.zakupki.prom.ua/remote/dispatcher/state_contracting_view/3608386" TargetMode="External"/><Relationship Id="rId428" Type="http://schemas.openxmlformats.org/officeDocument/2006/relationships/hyperlink" Target="https://my.zakupki.prom.ua/remote/dispatcher/state_purchase_view/21193377" TargetMode="External"/><Relationship Id="rId449" Type="http://schemas.openxmlformats.org/officeDocument/2006/relationships/hyperlink" Target="https://my.zakupki.prom.ua/remote/dispatcher/state_contracting_view/4121862" TargetMode="External"/><Relationship Id="rId211" Type="http://schemas.openxmlformats.org/officeDocument/2006/relationships/hyperlink" Target="https://my.zakupki.prom.ua/remote/dispatcher/state_contracting_view/3945654" TargetMode="External"/><Relationship Id="rId232" Type="http://schemas.openxmlformats.org/officeDocument/2006/relationships/hyperlink" Target="https://my.zakupki.prom.ua/remote/dispatcher/state_purchase_view/16013032" TargetMode="External"/><Relationship Id="rId253" Type="http://schemas.openxmlformats.org/officeDocument/2006/relationships/hyperlink" Target="https://my.zakupki.prom.ua/remote/dispatcher/state_contracting_view/4361052" TargetMode="External"/><Relationship Id="rId274" Type="http://schemas.openxmlformats.org/officeDocument/2006/relationships/hyperlink" Target="https://my.zakupki.prom.ua/remote/dispatcher/state_purchase_view/16203852" TargetMode="External"/><Relationship Id="rId295" Type="http://schemas.openxmlformats.org/officeDocument/2006/relationships/hyperlink" Target="https://my.zakupki.prom.ua/remote/dispatcher/state_contracting_view/5101045" TargetMode="External"/><Relationship Id="rId309" Type="http://schemas.openxmlformats.org/officeDocument/2006/relationships/hyperlink" Target="https://my.zakupki.prom.ua/remote/dispatcher/state_contracting_view/3660943" TargetMode="External"/><Relationship Id="rId460" Type="http://schemas.openxmlformats.org/officeDocument/2006/relationships/hyperlink" Target="https://my.zakupki.prom.ua/remote/dispatcher/state_purchase_view/17630527" TargetMode="External"/><Relationship Id="rId481" Type="http://schemas.openxmlformats.org/officeDocument/2006/relationships/hyperlink" Target="https://my.zakupki.prom.ua/remote/dispatcher/state_contracting_view/3714251" TargetMode="External"/><Relationship Id="rId516" Type="http://schemas.openxmlformats.org/officeDocument/2006/relationships/hyperlink" Target="https://my.zakupki.prom.ua/remote/dispatcher/state_purchase_view/20513101" TargetMode="External"/><Relationship Id="rId27" Type="http://schemas.openxmlformats.org/officeDocument/2006/relationships/hyperlink" Target="https://my.zakupki.prom.ua/remote/dispatcher/state_contracting_view/3985805" TargetMode="External"/><Relationship Id="rId48" Type="http://schemas.openxmlformats.org/officeDocument/2006/relationships/hyperlink" Target="https://my.zakupki.prom.ua/remote/dispatcher/state_purchase_view/22209572" TargetMode="External"/><Relationship Id="rId69" Type="http://schemas.openxmlformats.org/officeDocument/2006/relationships/hyperlink" Target="https://my.zakupki.prom.ua/remote/dispatcher/state_contracting_view/4415951" TargetMode="External"/><Relationship Id="rId113" Type="http://schemas.openxmlformats.org/officeDocument/2006/relationships/hyperlink" Target="https://my.zakupki.prom.ua/remote/dispatcher/state_contracting_view/4024507" TargetMode="External"/><Relationship Id="rId134" Type="http://schemas.openxmlformats.org/officeDocument/2006/relationships/hyperlink" Target="https://my.zakupki.prom.ua/remote/dispatcher/state_purchase_view/14402994" TargetMode="External"/><Relationship Id="rId320" Type="http://schemas.openxmlformats.org/officeDocument/2006/relationships/hyperlink" Target="https://my.zakupki.prom.ua/remote/dispatcher/state_purchase_view/15688233" TargetMode="External"/><Relationship Id="rId80" Type="http://schemas.openxmlformats.org/officeDocument/2006/relationships/hyperlink" Target="https://my.zakupki.prom.ua/remote/dispatcher/state_purchase_view/20467327" TargetMode="External"/><Relationship Id="rId155" Type="http://schemas.openxmlformats.org/officeDocument/2006/relationships/hyperlink" Target="https://my.zakupki.prom.ua/remote/dispatcher/state_contracting_view/3871098" TargetMode="External"/><Relationship Id="rId176" Type="http://schemas.openxmlformats.org/officeDocument/2006/relationships/hyperlink" Target="https://my.zakupki.prom.ua/remote/dispatcher/state_purchase_view/17402085" TargetMode="External"/><Relationship Id="rId197" Type="http://schemas.openxmlformats.org/officeDocument/2006/relationships/hyperlink" Target="https://my.zakupki.prom.ua/remote/dispatcher/state_contracting_view/4858268" TargetMode="External"/><Relationship Id="rId341" Type="http://schemas.openxmlformats.org/officeDocument/2006/relationships/hyperlink" Target="https://my.zakupki.prom.ua/remote/dispatcher/state_contracting_view/6172789" TargetMode="External"/><Relationship Id="rId362" Type="http://schemas.openxmlformats.org/officeDocument/2006/relationships/hyperlink" Target="https://my.zakupki.prom.ua/remote/dispatcher/state_purchase_view/14892117" TargetMode="External"/><Relationship Id="rId383" Type="http://schemas.openxmlformats.org/officeDocument/2006/relationships/hyperlink" Target="https://my.zakupki.prom.ua/remote/dispatcher/state_contracting_view/6324972" TargetMode="External"/><Relationship Id="rId418" Type="http://schemas.openxmlformats.org/officeDocument/2006/relationships/hyperlink" Target="https://my.zakupki.prom.ua/remote/dispatcher/state_purchase_view/19715371" TargetMode="External"/><Relationship Id="rId439" Type="http://schemas.openxmlformats.org/officeDocument/2006/relationships/hyperlink" Target="https://my.zakupki.prom.ua/remote/dispatcher/state_contracting_view/3690341" TargetMode="External"/><Relationship Id="rId201" Type="http://schemas.openxmlformats.org/officeDocument/2006/relationships/hyperlink" Target="https://my.zakupki.prom.ua/remote/dispatcher/state_contracting_view/4379450" TargetMode="External"/><Relationship Id="rId222" Type="http://schemas.openxmlformats.org/officeDocument/2006/relationships/hyperlink" Target="https://my.zakupki.prom.ua/remote/dispatcher/state_purchase_view/21343987" TargetMode="External"/><Relationship Id="rId243" Type="http://schemas.openxmlformats.org/officeDocument/2006/relationships/hyperlink" Target="https://my.zakupki.prom.ua/remote/dispatcher/state_contracting_view/4091548" TargetMode="External"/><Relationship Id="rId264" Type="http://schemas.openxmlformats.org/officeDocument/2006/relationships/hyperlink" Target="https://my.zakupki.prom.ua/remote/dispatcher/state_purchase_view/21022934" TargetMode="External"/><Relationship Id="rId285" Type="http://schemas.openxmlformats.org/officeDocument/2006/relationships/hyperlink" Target="https://my.zakupki.prom.ua/remote/dispatcher/state_contracting_view/6753425" TargetMode="External"/><Relationship Id="rId450" Type="http://schemas.openxmlformats.org/officeDocument/2006/relationships/hyperlink" Target="https://my.zakupki.prom.ua/remote/dispatcher/state_purchase_view/15417023" TargetMode="External"/><Relationship Id="rId471" Type="http://schemas.openxmlformats.org/officeDocument/2006/relationships/hyperlink" Target="https://my.zakupki.prom.ua/remote/dispatcher/state_contracting_view/4673079" TargetMode="External"/><Relationship Id="rId506" Type="http://schemas.openxmlformats.org/officeDocument/2006/relationships/hyperlink" Target="https://my.zakupki.prom.ua/remote/dispatcher/state_purchase_view/18055072" TargetMode="External"/><Relationship Id="rId17" Type="http://schemas.openxmlformats.org/officeDocument/2006/relationships/hyperlink" Target="https://my.zakupki.prom.ua/remote/dispatcher/state_contracting_view/3730470" TargetMode="External"/><Relationship Id="rId38" Type="http://schemas.openxmlformats.org/officeDocument/2006/relationships/hyperlink" Target="https://my.zakupki.prom.ua/remote/dispatcher/state_purchase_view/21727266" TargetMode="External"/><Relationship Id="rId59" Type="http://schemas.openxmlformats.org/officeDocument/2006/relationships/hyperlink" Target="https://my.zakupki.prom.ua/remote/dispatcher/state_contracting_view/3804887" TargetMode="External"/><Relationship Id="rId103" Type="http://schemas.openxmlformats.org/officeDocument/2006/relationships/hyperlink" Target="https://my.zakupki.prom.ua/remote/dispatcher/state_contracting_view/3627078" TargetMode="External"/><Relationship Id="rId124" Type="http://schemas.openxmlformats.org/officeDocument/2006/relationships/hyperlink" Target="https://my.zakupki.prom.ua/remote/dispatcher/state_purchase_view/20090925" TargetMode="External"/><Relationship Id="rId310" Type="http://schemas.openxmlformats.org/officeDocument/2006/relationships/hyperlink" Target="https://my.zakupki.prom.ua/remote/dispatcher/state_purchase_view/14491238" TargetMode="External"/><Relationship Id="rId492" Type="http://schemas.openxmlformats.org/officeDocument/2006/relationships/hyperlink" Target="https://my.zakupki.prom.ua/remote/dispatcher/state_purchase_view/14354184" TargetMode="External"/><Relationship Id="rId70" Type="http://schemas.openxmlformats.org/officeDocument/2006/relationships/hyperlink" Target="https://my.zakupki.prom.ua/remote/dispatcher/state_purchase_view/17910744" TargetMode="External"/><Relationship Id="rId91" Type="http://schemas.openxmlformats.org/officeDocument/2006/relationships/hyperlink" Target="https://my.zakupki.prom.ua/remote/dispatcher/state_contracting_view/4326684" TargetMode="External"/><Relationship Id="rId145" Type="http://schemas.openxmlformats.org/officeDocument/2006/relationships/hyperlink" Target="https://my.zakupki.prom.ua/remote/dispatcher/state_contracting_view/3637039" TargetMode="External"/><Relationship Id="rId166" Type="http://schemas.openxmlformats.org/officeDocument/2006/relationships/hyperlink" Target="https://my.zakupki.prom.ua/remote/dispatcher/state_purchase_view/20547275" TargetMode="External"/><Relationship Id="rId187" Type="http://schemas.openxmlformats.org/officeDocument/2006/relationships/hyperlink" Target="https://my.zakupki.prom.ua/remote/dispatcher/state_contracting_view/6774697" TargetMode="External"/><Relationship Id="rId331" Type="http://schemas.openxmlformats.org/officeDocument/2006/relationships/hyperlink" Target="https://my.zakupki.prom.ua/remote/dispatcher/state_contracting_view/4585180" TargetMode="External"/><Relationship Id="rId352" Type="http://schemas.openxmlformats.org/officeDocument/2006/relationships/hyperlink" Target="https://my.zakupki.prom.ua/remote/dispatcher/state_purchase_view/18372349" TargetMode="External"/><Relationship Id="rId373" Type="http://schemas.openxmlformats.org/officeDocument/2006/relationships/hyperlink" Target="https://my.zakupki.prom.ua/remote/dispatcher/state_contracting_view/3985411" TargetMode="External"/><Relationship Id="rId394" Type="http://schemas.openxmlformats.org/officeDocument/2006/relationships/hyperlink" Target="https://my.zakupki.prom.ua/remote/dispatcher/state_purchase_view/20066306" TargetMode="External"/><Relationship Id="rId408" Type="http://schemas.openxmlformats.org/officeDocument/2006/relationships/hyperlink" Target="https://my.zakupki.prom.ua/remote/dispatcher/state_purchase_view/17707886" TargetMode="External"/><Relationship Id="rId429" Type="http://schemas.openxmlformats.org/officeDocument/2006/relationships/hyperlink" Target="https://my.zakupki.prom.ua/remote/dispatcher/state_contracting_view/6397423" TargetMode="External"/><Relationship Id="rId1" Type="http://schemas.openxmlformats.org/officeDocument/2006/relationships/hyperlink" Target="mailto:report.zakupki@prom.ua" TargetMode="External"/><Relationship Id="rId212" Type="http://schemas.openxmlformats.org/officeDocument/2006/relationships/hyperlink" Target="https://my.zakupki.prom.ua/remote/dispatcher/state_purchase_view/20729813" TargetMode="External"/><Relationship Id="rId233" Type="http://schemas.openxmlformats.org/officeDocument/2006/relationships/hyperlink" Target="https://my.zakupki.prom.ua/remote/dispatcher/state_contracting_view/4019582" TargetMode="External"/><Relationship Id="rId254" Type="http://schemas.openxmlformats.org/officeDocument/2006/relationships/hyperlink" Target="https://my.zakupki.prom.ua/remote/dispatcher/state_purchase_view/19045515" TargetMode="External"/><Relationship Id="rId440" Type="http://schemas.openxmlformats.org/officeDocument/2006/relationships/hyperlink" Target="https://my.zakupki.prom.ua/remote/dispatcher/state_purchase_view/15589416" TargetMode="External"/><Relationship Id="rId28" Type="http://schemas.openxmlformats.org/officeDocument/2006/relationships/hyperlink" Target="https://my.zakupki.prom.ua/remote/dispatcher/state_purchase_view/16028700" TargetMode="External"/><Relationship Id="rId49" Type="http://schemas.openxmlformats.org/officeDocument/2006/relationships/hyperlink" Target="https://my.zakupki.prom.ua/remote/dispatcher/state_contracting_view/7174886" TargetMode="External"/><Relationship Id="rId114" Type="http://schemas.openxmlformats.org/officeDocument/2006/relationships/hyperlink" Target="https://my.zakupki.prom.ua/remote/dispatcher/state_purchase_view/15080160" TargetMode="External"/><Relationship Id="rId275" Type="http://schemas.openxmlformats.org/officeDocument/2006/relationships/hyperlink" Target="https://my.zakupki.prom.ua/remote/dispatcher/state_contracting_view/4086485" TargetMode="External"/><Relationship Id="rId296" Type="http://schemas.openxmlformats.org/officeDocument/2006/relationships/hyperlink" Target="https://my.zakupki.prom.ua/remote/dispatcher/state_purchase_view/18189360" TargetMode="External"/><Relationship Id="rId300" Type="http://schemas.openxmlformats.org/officeDocument/2006/relationships/hyperlink" Target="https://my.zakupki.prom.ua/remote/dispatcher/state_purchase_view/18245252" TargetMode="External"/><Relationship Id="rId461" Type="http://schemas.openxmlformats.org/officeDocument/2006/relationships/hyperlink" Target="https://my.zakupki.prom.ua/remote/dispatcher/state_contracting_view/4714061" TargetMode="External"/><Relationship Id="rId482" Type="http://schemas.openxmlformats.org/officeDocument/2006/relationships/hyperlink" Target="https://my.zakupki.prom.ua/remote/dispatcher/state_purchase_view/15039370" TargetMode="External"/><Relationship Id="rId517" Type="http://schemas.openxmlformats.org/officeDocument/2006/relationships/hyperlink" Target="https://my.zakupki.prom.ua/remote/dispatcher/state_contracting_view/6524219" TargetMode="External"/><Relationship Id="rId60" Type="http://schemas.openxmlformats.org/officeDocument/2006/relationships/hyperlink" Target="https://my.zakupki.prom.ua/remote/dispatcher/state_purchase_view/15096304" TargetMode="External"/><Relationship Id="rId81" Type="http://schemas.openxmlformats.org/officeDocument/2006/relationships/hyperlink" Target="https://my.zakupki.prom.ua/remote/dispatcher/state_contracting_view/6390200" TargetMode="External"/><Relationship Id="rId135" Type="http://schemas.openxmlformats.org/officeDocument/2006/relationships/hyperlink" Target="https://my.zakupki.prom.ua/remote/dispatcher/state_contracting_view/3617019" TargetMode="External"/><Relationship Id="rId156" Type="http://schemas.openxmlformats.org/officeDocument/2006/relationships/hyperlink" Target="https://my.zakupki.prom.ua/remote/dispatcher/state_purchase_view/15298361" TargetMode="External"/><Relationship Id="rId177" Type="http://schemas.openxmlformats.org/officeDocument/2006/relationships/hyperlink" Target="https://my.zakupki.prom.ua/remote/dispatcher/state_contracting_view/4608031" TargetMode="External"/><Relationship Id="rId198" Type="http://schemas.openxmlformats.org/officeDocument/2006/relationships/hyperlink" Target="https://my.zakupki.prom.ua/remote/dispatcher/state_purchase_view/14402867" TargetMode="External"/><Relationship Id="rId321" Type="http://schemas.openxmlformats.org/officeDocument/2006/relationships/hyperlink" Target="https://my.zakupki.prom.ua/remote/dispatcher/state_contracting_view/3915610" TargetMode="External"/><Relationship Id="rId342" Type="http://schemas.openxmlformats.org/officeDocument/2006/relationships/hyperlink" Target="https://my.zakupki.prom.ua/remote/dispatcher/state_purchase_view/22033607" TargetMode="External"/><Relationship Id="rId363" Type="http://schemas.openxmlformats.org/officeDocument/2006/relationships/hyperlink" Target="https://my.zakupki.prom.ua/remote/dispatcher/state_contracting_view/3704883" TargetMode="External"/><Relationship Id="rId384" Type="http://schemas.openxmlformats.org/officeDocument/2006/relationships/hyperlink" Target="https://my.zakupki.prom.ua/remote/dispatcher/state_purchase_view/17400135" TargetMode="External"/><Relationship Id="rId419" Type="http://schemas.openxmlformats.org/officeDocument/2006/relationships/hyperlink" Target="https://my.zakupki.prom.ua/remote/dispatcher/state_contracting_view/5695328" TargetMode="External"/><Relationship Id="rId202" Type="http://schemas.openxmlformats.org/officeDocument/2006/relationships/hyperlink" Target="https://my.zakupki.prom.ua/remote/dispatcher/state_purchase_view/17734752" TargetMode="External"/><Relationship Id="rId223" Type="http://schemas.openxmlformats.org/officeDocument/2006/relationships/hyperlink" Target="https://my.zakupki.prom.ua/remote/dispatcher/state_contracting_view/6913393" TargetMode="External"/><Relationship Id="rId244" Type="http://schemas.openxmlformats.org/officeDocument/2006/relationships/hyperlink" Target="https://my.zakupki.prom.ua/remote/dispatcher/state_purchase_view/16274587" TargetMode="External"/><Relationship Id="rId430" Type="http://schemas.openxmlformats.org/officeDocument/2006/relationships/hyperlink" Target="https://my.zakupki.prom.ua/remote/dispatcher/state_purchase_view/14418854" TargetMode="External"/><Relationship Id="rId18" Type="http://schemas.openxmlformats.org/officeDocument/2006/relationships/hyperlink" Target="https://my.zakupki.prom.ua/remote/dispatcher/state_purchase_view/14673198" TargetMode="External"/><Relationship Id="rId39" Type="http://schemas.openxmlformats.org/officeDocument/2006/relationships/hyperlink" Target="https://my.zakupki.prom.ua/remote/dispatcher/state_contracting_view/6646590" TargetMode="External"/><Relationship Id="rId265" Type="http://schemas.openxmlformats.org/officeDocument/2006/relationships/hyperlink" Target="https://my.zakupki.prom.ua/remote/dispatcher/state_contracting_view/6697020" TargetMode="External"/><Relationship Id="rId286" Type="http://schemas.openxmlformats.org/officeDocument/2006/relationships/hyperlink" Target="https://my.zakupki.prom.ua/remote/dispatcher/state_purchase_view/14862655" TargetMode="External"/><Relationship Id="rId451" Type="http://schemas.openxmlformats.org/officeDocument/2006/relationships/hyperlink" Target="https://my.zakupki.prom.ua/remote/dispatcher/state_contracting_view/3835826" TargetMode="External"/><Relationship Id="rId472" Type="http://schemas.openxmlformats.org/officeDocument/2006/relationships/hyperlink" Target="https://my.zakupki.prom.ua/remote/dispatcher/state_purchase_view/16013023" TargetMode="External"/><Relationship Id="rId493" Type="http://schemas.openxmlformats.org/officeDocument/2006/relationships/hyperlink" Target="https://my.zakupki.prom.ua/remote/dispatcher/state_contracting_view/3608432" TargetMode="External"/><Relationship Id="rId507" Type="http://schemas.openxmlformats.org/officeDocument/2006/relationships/hyperlink" Target="https://my.zakupki.prom.ua/remote/dispatcher/state_contracting_view/5180542" TargetMode="External"/><Relationship Id="rId50" Type="http://schemas.openxmlformats.org/officeDocument/2006/relationships/hyperlink" Target="https://my.zakupki.prom.ua/remote/dispatcher/state_purchase_view/21226620" TargetMode="External"/><Relationship Id="rId104" Type="http://schemas.openxmlformats.org/officeDocument/2006/relationships/hyperlink" Target="https://my.zakupki.prom.ua/remote/dispatcher/state_purchase_view/14369662" TargetMode="External"/><Relationship Id="rId125" Type="http://schemas.openxmlformats.org/officeDocument/2006/relationships/hyperlink" Target="https://my.zakupki.prom.ua/remote/dispatcher/state_contracting_view/6359100" TargetMode="External"/><Relationship Id="rId146" Type="http://schemas.openxmlformats.org/officeDocument/2006/relationships/hyperlink" Target="https://my.zakupki.prom.ua/remote/dispatcher/state_purchase_view/14354017" TargetMode="External"/><Relationship Id="rId167" Type="http://schemas.openxmlformats.org/officeDocument/2006/relationships/hyperlink" Target="https://my.zakupki.prom.ua/remote/dispatcher/state_contracting_view/6093673" TargetMode="External"/><Relationship Id="rId188" Type="http://schemas.openxmlformats.org/officeDocument/2006/relationships/hyperlink" Target="https://my.zakupki.prom.ua/remote/dispatcher/state_purchase_view/20070139" TargetMode="External"/><Relationship Id="rId311" Type="http://schemas.openxmlformats.org/officeDocument/2006/relationships/hyperlink" Target="https://my.zakupki.prom.ua/remote/dispatcher/state_contracting_view/3630789" TargetMode="External"/><Relationship Id="rId332" Type="http://schemas.openxmlformats.org/officeDocument/2006/relationships/hyperlink" Target="https://my.zakupki.prom.ua/remote/dispatcher/state_purchase_view/17364283" TargetMode="External"/><Relationship Id="rId353" Type="http://schemas.openxmlformats.org/officeDocument/2006/relationships/hyperlink" Target="https://my.zakupki.prom.ua/remote/dispatcher/state_contracting_view/5374163" TargetMode="External"/><Relationship Id="rId374" Type="http://schemas.openxmlformats.org/officeDocument/2006/relationships/hyperlink" Target="https://my.zakupki.prom.ua/remote/dispatcher/state_purchase_view/16153910" TargetMode="External"/><Relationship Id="rId395" Type="http://schemas.openxmlformats.org/officeDocument/2006/relationships/hyperlink" Target="https://my.zakupki.prom.ua/remote/dispatcher/state_contracting_view/6361161" TargetMode="External"/><Relationship Id="rId409" Type="http://schemas.openxmlformats.org/officeDocument/2006/relationships/hyperlink" Target="https://my.zakupki.prom.ua/remote/dispatcher/state_contracting_view/4749662" TargetMode="External"/><Relationship Id="rId71" Type="http://schemas.openxmlformats.org/officeDocument/2006/relationships/hyperlink" Target="https://my.zakupki.prom.ua/remote/dispatcher/state_contracting_view/4855082" TargetMode="External"/><Relationship Id="rId92" Type="http://schemas.openxmlformats.org/officeDocument/2006/relationships/hyperlink" Target="https://my.zakupki.prom.ua/remote/dispatcher/state_purchase_view/14718836" TargetMode="External"/><Relationship Id="rId213" Type="http://schemas.openxmlformats.org/officeDocument/2006/relationships/hyperlink" Target="https://my.zakupki.prom.ua/remote/dispatcher/state_contracting_view/6179386" TargetMode="External"/><Relationship Id="rId234" Type="http://schemas.openxmlformats.org/officeDocument/2006/relationships/hyperlink" Target="https://my.zakupki.prom.ua/remote/dispatcher/state_purchase_view/15962202" TargetMode="External"/><Relationship Id="rId420" Type="http://schemas.openxmlformats.org/officeDocument/2006/relationships/hyperlink" Target="https://my.zakupki.prom.ua/remote/dispatcher/state_purchase_view/16213107" TargetMode="External"/><Relationship Id="rId2" Type="http://schemas.openxmlformats.org/officeDocument/2006/relationships/hyperlink" Target="https://my.zakupki.prom.ua/remote/dispatcher/state_purchase_view/16945058" TargetMode="External"/><Relationship Id="rId29" Type="http://schemas.openxmlformats.org/officeDocument/2006/relationships/hyperlink" Target="https://my.zakupki.prom.ua/remote/dispatcher/state_contracting_view/4025163" TargetMode="External"/><Relationship Id="rId255" Type="http://schemas.openxmlformats.org/officeDocument/2006/relationships/hyperlink" Target="https://my.zakupki.prom.ua/remote/dispatcher/state_contracting_view/5373948" TargetMode="External"/><Relationship Id="rId276" Type="http://schemas.openxmlformats.org/officeDocument/2006/relationships/hyperlink" Target="https://my.zakupki.prom.ua/remote/dispatcher/state_purchase_view/16955551" TargetMode="External"/><Relationship Id="rId297" Type="http://schemas.openxmlformats.org/officeDocument/2006/relationships/hyperlink" Target="https://my.zakupki.prom.ua/remote/dispatcher/state_contracting_view/5374578" TargetMode="External"/><Relationship Id="rId441" Type="http://schemas.openxmlformats.org/officeDocument/2006/relationships/hyperlink" Target="https://my.zakupki.prom.ua/remote/dispatcher/state_contracting_view/3885870" TargetMode="External"/><Relationship Id="rId462" Type="http://schemas.openxmlformats.org/officeDocument/2006/relationships/hyperlink" Target="https://my.zakupki.prom.ua/remote/dispatcher/state_purchase_view/17366400" TargetMode="External"/><Relationship Id="rId483" Type="http://schemas.openxmlformats.org/officeDocument/2006/relationships/hyperlink" Target="https://my.zakupki.prom.ua/remote/dispatcher/state_contracting_view/3737997" TargetMode="External"/><Relationship Id="rId40" Type="http://schemas.openxmlformats.org/officeDocument/2006/relationships/hyperlink" Target="https://my.zakupki.prom.ua/remote/dispatcher/state_purchase_view/17950719" TargetMode="External"/><Relationship Id="rId115" Type="http://schemas.openxmlformats.org/officeDocument/2006/relationships/hyperlink" Target="https://my.zakupki.prom.ua/remote/dispatcher/state_contracting_view/3748054" TargetMode="External"/><Relationship Id="rId136" Type="http://schemas.openxmlformats.org/officeDocument/2006/relationships/hyperlink" Target="https://my.zakupki.prom.ua/remote/dispatcher/state_purchase_view/15688272" TargetMode="External"/><Relationship Id="rId157" Type="http://schemas.openxmlformats.org/officeDocument/2006/relationships/hyperlink" Target="https://my.zakupki.prom.ua/remote/dispatcher/state_contracting_view/3803632" TargetMode="External"/><Relationship Id="rId178" Type="http://schemas.openxmlformats.org/officeDocument/2006/relationships/hyperlink" Target="https://my.zakupki.prom.ua/remote/dispatcher/state_purchase_view/18055072" TargetMode="External"/><Relationship Id="rId301" Type="http://schemas.openxmlformats.org/officeDocument/2006/relationships/hyperlink" Target="https://my.zakupki.prom.ua/remote/dispatcher/state_contracting_view/5292993" TargetMode="External"/><Relationship Id="rId322" Type="http://schemas.openxmlformats.org/officeDocument/2006/relationships/hyperlink" Target="https://my.zakupki.prom.ua/remote/dispatcher/state_purchase_view/16027824" TargetMode="External"/><Relationship Id="rId343" Type="http://schemas.openxmlformats.org/officeDocument/2006/relationships/hyperlink" Target="https://my.zakupki.prom.ua/remote/dispatcher/state_contracting_view/6791024" TargetMode="External"/><Relationship Id="rId364" Type="http://schemas.openxmlformats.org/officeDocument/2006/relationships/hyperlink" Target="https://my.zakupki.prom.ua/remote/dispatcher/state_purchase_view/20180598" TargetMode="External"/><Relationship Id="rId61" Type="http://schemas.openxmlformats.org/officeDocument/2006/relationships/hyperlink" Target="https://my.zakupki.prom.ua/remote/dispatcher/state_contracting_view/3752206" TargetMode="External"/><Relationship Id="rId82" Type="http://schemas.openxmlformats.org/officeDocument/2006/relationships/hyperlink" Target="https://my.zakupki.prom.ua/remote/dispatcher/state_purchase_view/21002282" TargetMode="External"/><Relationship Id="rId199" Type="http://schemas.openxmlformats.org/officeDocument/2006/relationships/hyperlink" Target="https://my.zakupki.prom.ua/remote/dispatcher/state_contracting_view/3616999" TargetMode="External"/><Relationship Id="rId203" Type="http://schemas.openxmlformats.org/officeDocument/2006/relationships/hyperlink" Target="https://my.zakupki.prom.ua/remote/dispatcher/state_contracting_view/4762389" TargetMode="External"/><Relationship Id="rId385" Type="http://schemas.openxmlformats.org/officeDocument/2006/relationships/hyperlink" Target="https://my.zakupki.prom.ua/remote/dispatcher/state_contracting_view/4606562" TargetMode="External"/><Relationship Id="rId19" Type="http://schemas.openxmlformats.org/officeDocument/2006/relationships/hyperlink" Target="https://my.zakupki.prom.ua/remote/dispatcher/state_contracting_view/3660846" TargetMode="External"/><Relationship Id="rId224" Type="http://schemas.openxmlformats.org/officeDocument/2006/relationships/hyperlink" Target="https://my.zakupki.prom.ua/remote/dispatcher/state_purchase_view/20080843" TargetMode="External"/><Relationship Id="rId245" Type="http://schemas.openxmlformats.org/officeDocument/2006/relationships/hyperlink" Target="https://my.zakupki.prom.ua/remote/dispatcher/state_contracting_view/4110880" TargetMode="External"/><Relationship Id="rId266" Type="http://schemas.openxmlformats.org/officeDocument/2006/relationships/hyperlink" Target="https://my.zakupki.prom.ua/remote/dispatcher/state_purchase_view/24895777" TargetMode="External"/><Relationship Id="rId287" Type="http://schemas.openxmlformats.org/officeDocument/2006/relationships/hyperlink" Target="https://my.zakupki.prom.ua/remote/dispatcher/state_contracting_view/3695301" TargetMode="External"/><Relationship Id="rId410" Type="http://schemas.openxmlformats.org/officeDocument/2006/relationships/hyperlink" Target="https://my.zakupki.prom.ua/remote/dispatcher/state_purchase_view/17873230" TargetMode="External"/><Relationship Id="rId431" Type="http://schemas.openxmlformats.org/officeDocument/2006/relationships/hyperlink" Target="https://my.zakupki.prom.ua/remote/dispatcher/state_contracting_view/3731046" TargetMode="External"/><Relationship Id="rId452" Type="http://schemas.openxmlformats.org/officeDocument/2006/relationships/hyperlink" Target="https://my.zakupki.prom.ua/remote/dispatcher/state_purchase_view/14491647" TargetMode="External"/><Relationship Id="rId473" Type="http://schemas.openxmlformats.org/officeDocument/2006/relationships/hyperlink" Target="https://my.zakupki.prom.ua/remote/dispatcher/state_contracting_view/4019578" TargetMode="External"/><Relationship Id="rId494" Type="http://schemas.openxmlformats.org/officeDocument/2006/relationships/hyperlink" Target="https://my.zakupki.prom.ua/remote/dispatcher/state_purchase_view/15792798" TargetMode="External"/><Relationship Id="rId508" Type="http://schemas.openxmlformats.org/officeDocument/2006/relationships/hyperlink" Target="https://my.zakupki.prom.ua/remote/dispatcher/state_purchase_view/16915709" TargetMode="External"/><Relationship Id="rId30" Type="http://schemas.openxmlformats.org/officeDocument/2006/relationships/hyperlink" Target="https://my.zakupki.prom.ua/remote/dispatcher/state_purchase_view/16938737" TargetMode="External"/><Relationship Id="rId105" Type="http://schemas.openxmlformats.org/officeDocument/2006/relationships/hyperlink" Target="https://my.zakupki.prom.ua/remote/dispatcher/state_contracting_view/3611839" TargetMode="External"/><Relationship Id="rId126" Type="http://schemas.openxmlformats.org/officeDocument/2006/relationships/hyperlink" Target="https://my.zakupki.prom.ua/remote/dispatcher/state_purchase_view/20269319" TargetMode="External"/><Relationship Id="rId147" Type="http://schemas.openxmlformats.org/officeDocument/2006/relationships/hyperlink" Target="https://my.zakupki.prom.ua/remote/dispatcher/state_contracting_view/3608378" TargetMode="External"/><Relationship Id="rId168" Type="http://schemas.openxmlformats.org/officeDocument/2006/relationships/hyperlink" Target="https://my.zakupki.prom.ua/remote/dispatcher/state_purchase_view/16297193" TargetMode="External"/><Relationship Id="rId312" Type="http://schemas.openxmlformats.org/officeDocument/2006/relationships/hyperlink" Target="https://my.zakupki.prom.ua/remote/dispatcher/state_purchase_view/14423099" TargetMode="External"/><Relationship Id="rId333" Type="http://schemas.openxmlformats.org/officeDocument/2006/relationships/hyperlink" Target="https://my.zakupki.prom.ua/remote/dispatcher/state_contracting_view/4590347" TargetMode="External"/><Relationship Id="rId354" Type="http://schemas.openxmlformats.org/officeDocument/2006/relationships/hyperlink" Target="https://my.zakupki.prom.ua/remote/dispatcher/state_purchase_view/17433934" TargetMode="External"/><Relationship Id="rId51" Type="http://schemas.openxmlformats.org/officeDocument/2006/relationships/hyperlink" Target="https://my.zakupki.prom.ua/remote/dispatcher/state_contracting_view/6710613" TargetMode="External"/><Relationship Id="rId72" Type="http://schemas.openxmlformats.org/officeDocument/2006/relationships/hyperlink" Target="https://my.zakupki.prom.ua/remote/dispatcher/state_purchase_view/18642420" TargetMode="External"/><Relationship Id="rId93" Type="http://schemas.openxmlformats.org/officeDocument/2006/relationships/hyperlink" Target="https://my.zakupki.prom.ua/remote/dispatcher/state_contracting_view/3669177" TargetMode="External"/><Relationship Id="rId189" Type="http://schemas.openxmlformats.org/officeDocument/2006/relationships/hyperlink" Target="https://my.zakupki.prom.ua/remote/dispatcher/state_contracting_view/6376657" TargetMode="External"/><Relationship Id="rId375" Type="http://schemas.openxmlformats.org/officeDocument/2006/relationships/hyperlink" Target="https://my.zakupki.prom.ua/remote/dispatcher/state_contracting_view/4069470" TargetMode="External"/><Relationship Id="rId396" Type="http://schemas.openxmlformats.org/officeDocument/2006/relationships/hyperlink" Target="https://my.zakupki.prom.ua/remote/dispatcher/state_purchase_view/19449398" TargetMode="External"/><Relationship Id="rId3" Type="http://schemas.openxmlformats.org/officeDocument/2006/relationships/hyperlink" Target="https://my.zakupki.prom.ua/remote/dispatcher/state_contracting_view/4696516" TargetMode="External"/><Relationship Id="rId214" Type="http://schemas.openxmlformats.org/officeDocument/2006/relationships/hyperlink" Target="https://my.zakupki.prom.ua/remote/dispatcher/state_purchase_view/18451587" TargetMode="External"/><Relationship Id="rId235" Type="http://schemas.openxmlformats.org/officeDocument/2006/relationships/hyperlink" Target="https://my.zakupki.prom.ua/remote/dispatcher/state_contracting_view/4002256" TargetMode="External"/><Relationship Id="rId256" Type="http://schemas.openxmlformats.org/officeDocument/2006/relationships/hyperlink" Target="https://my.zakupki.prom.ua/remote/dispatcher/state_purchase_view/17708469" TargetMode="External"/><Relationship Id="rId277" Type="http://schemas.openxmlformats.org/officeDocument/2006/relationships/hyperlink" Target="https://my.zakupki.prom.ua/remote/dispatcher/state_contracting_view/4402572" TargetMode="External"/><Relationship Id="rId298" Type="http://schemas.openxmlformats.org/officeDocument/2006/relationships/hyperlink" Target="https://my.zakupki.prom.ua/remote/dispatcher/state_purchase_view/17010946" TargetMode="External"/><Relationship Id="rId400" Type="http://schemas.openxmlformats.org/officeDocument/2006/relationships/hyperlink" Target="https://my.zakupki.prom.ua/remote/dispatcher/state_purchase_view/18172316" TargetMode="External"/><Relationship Id="rId421" Type="http://schemas.openxmlformats.org/officeDocument/2006/relationships/hyperlink" Target="https://my.zakupki.prom.ua/remote/dispatcher/state_contracting_view/4089701" TargetMode="External"/><Relationship Id="rId442" Type="http://schemas.openxmlformats.org/officeDocument/2006/relationships/hyperlink" Target="https://my.zakupki.prom.ua/remote/dispatcher/state_purchase_view/14416098" TargetMode="External"/><Relationship Id="rId463" Type="http://schemas.openxmlformats.org/officeDocument/2006/relationships/hyperlink" Target="https://my.zakupki.prom.ua/remote/dispatcher/state_contracting_view/4591198" TargetMode="External"/><Relationship Id="rId484" Type="http://schemas.openxmlformats.org/officeDocument/2006/relationships/hyperlink" Target="https://my.zakupki.prom.ua/remote/dispatcher/state_purchase_view/14416285" TargetMode="External"/><Relationship Id="rId116" Type="http://schemas.openxmlformats.org/officeDocument/2006/relationships/hyperlink" Target="https://my.zakupki.prom.ua/remote/dispatcher/state_purchase_view/13924676" TargetMode="External"/><Relationship Id="rId137" Type="http://schemas.openxmlformats.org/officeDocument/2006/relationships/hyperlink" Target="https://my.zakupki.prom.ua/remote/dispatcher/state_contracting_view/3915646" TargetMode="External"/><Relationship Id="rId158" Type="http://schemas.openxmlformats.org/officeDocument/2006/relationships/hyperlink" Target="https://my.zakupki.prom.ua/remote/dispatcher/state_purchase_view/14466787" TargetMode="External"/><Relationship Id="rId302" Type="http://schemas.openxmlformats.org/officeDocument/2006/relationships/hyperlink" Target="https://my.zakupki.prom.ua/remote/dispatcher/state_purchase_view/18564158" TargetMode="External"/><Relationship Id="rId323" Type="http://schemas.openxmlformats.org/officeDocument/2006/relationships/hyperlink" Target="https://my.zakupki.prom.ua/remote/dispatcher/state_contracting_view/4024933" TargetMode="External"/><Relationship Id="rId344" Type="http://schemas.openxmlformats.org/officeDocument/2006/relationships/hyperlink" Target="https://my.zakupki.prom.ua/remote/dispatcher/state_purchase_view/20031782" TargetMode="External"/><Relationship Id="rId20" Type="http://schemas.openxmlformats.org/officeDocument/2006/relationships/hyperlink" Target="https://my.zakupki.prom.ua/remote/dispatcher/state_purchase_view/14778651" TargetMode="External"/><Relationship Id="rId41" Type="http://schemas.openxmlformats.org/officeDocument/2006/relationships/hyperlink" Target="https://my.zakupki.prom.ua/remote/dispatcher/state_contracting_view/4862344" TargetMode="External"/><Relationship Id="rId62" Type="http://schemas.openxmlformats.org/officeDocument/2006/relationships/hyperlink" Target="https://my.zakupki.prom.ua/remote/dispatcher/state_purchase_view/15040156" TargetMode="External"/><Relationship Id="rId83" Type="http://schemas.openxmlformats.org/officeDocument/2006/relationships/hyperlink" Target="https://my.zakupki.prom.ua/remote/dispatcher/state_contracting_view/6826576" TargetMode="External"/><Relationship Id="rId179" Type="http://schemas.openxmlformats.org/officeDocument/2006/relationships/hyperlink" Target="https://my.zakupki.prom.ua/remote/dispatcher/state_contracting_view/5292926" TargetMode="External"/><Relationship Id="rId365" Type="http://schemas.openxmlformats.org/officeDocument/2006/relationships/hyperlink" Target="https://my.zakupki.prom.ua/remote/dispatcher/state_contracting_view/5913002" TargetMode="External"/><Relationship Id="rId386" Type="http://schemas.openxmlformats.org/officeDocument/2006/relationships/hyperlink" Target="https://my.zakupki.prom.ua/remote/dispatcher/state_purchase_view/17625061" TargetMode="External"/><Relationship Id="rId190" Type="http://schemas.openxmlformats.org/officeDocument/2006/relationships/hyperlink" Target="https://my.zakupki.prom.ua/remote/dispatcher/state_purchase_view/14414169" TargetMode="External"/><Relationship Id="rId204" Type="http://schemas.openxmlformats.org/officeDocument/2006/relationships/hyperlink" Target="https://my.zakupki.prom.ua/remote/dispatcher/state_purchase_view/14422764" TargetMode="External"/><Relationship Id="rId225" Type="http://schemas.openxmlformats.org/officeDocument/2006/relationships/hyperlink" Target="https://my.zakupki.prom.ua/remote/dispatcher/state_contracting_view/6360901" TargetMode="External"/><Relationship Id="rId246" Type="http://schemas.openxmlformats.org/officeDocument/2006/relationships/hyperlink" Target="https://my.zakupki.prom.ua/remote/dispatcher/state_purchase_view/15208739" TargetMode="External"/><Relationship Id="rId267" Type="http://schemas.openxmlformats.org/officeDocument/2006/relationships/hyperlink" Target="https://my.zakupki.prom.ua/remote/dispatcher/state_contracting_view/8087962" TargetMode="External"/><Relationship Id="rId288" Type="http://schemas.openxmlformats.org/officeDocument/2006/relationships/hyperlink" Target="https://my.zakupki.prom.ua/remote/dispatcher/state_purchase_view/18751646" TargetMode="External"/><Relationship Id="rId411" Type="http://schemas.openxmlformats.org/officeDocument/2006/relationships/hyperlink" Target="https://my.zakupki.prom.ua/remote/dispatcher/state_contracting_view/4826760" TargetMode="External"/><Relationship Id="rId432" Type="http://schemas.openxmlformats.org/officeDocument/2006/relationships/hyperlink" Target="https://my.zakupki.prom.ua/remote/dispatcher/state_purchase_view/22041303" TargetMode="External"/><Relationship Id="rId453" Type="http://schemas.openxmlformats.org/officeDocument/2006/relationships/hyperlink" Target="https://my.zakupki.prom.ua/remote/dispatcher/state_contracting_view/3630846" TargetMode="External"/><Relationship Id="rId474" Type="http://schemas.openxmlformats.org/officeDocument/2006/relationships/hyperlink" Target="https://my.zakupki.prom.ua/remote/dispatcher/state_purchase_view/14369546" TargetMode="External"/><Relationship Id="rId509" Type="http://schemas.openxmlformats.org/officeDocument/2006/relationships/hyperlink" Target="https://my.zakupki.prom.ua/remote/dispatcher/state_contracting_view/4718872" TargetMode="External"/><Relationship Id="rId106" Type="http://schemas.openxmlformats.org/officeDocument/2006/relationships/hyperlink" Target="https://my.zakupki.prom.ua/remote/dispatcher/state_purchase_view/14415835" TargetMode="External"/><Relationship Id="rId127" Type="http://schemas.openxmlformats.org/officeDocument/2006/relationships/hyperlink" Target="https://my.zakupki.prom.ua/remote/dispatcher/state_contracting_view/6280564" TargetMode="External"/><Relationship Id="rId313" Type="http://schemas.openxmlformats.org/officeDocument/2006/relationships/hyperlink" Target="https://my.zakupki.prom.ua/remote/dispatcher/state_contracting_view/3620700" TargetMode="External"/><Relationship Id="rId495" Type="http://schemas.openxmlformats.org/officeDocument/2006/relationships/hyperlink" Target="https://my.zakupki.prom.ua/remote/dispatcher/state_contracting_view/3946998" TargetMode="External"/><Relationship Id="rId10" Type="http://schemas.openxmlformats.org/officeDocument/2006/relationships/hyperlink" Target="https://my.zakupki.prom.ua/remote/dispatcher/state_purchase_view/14403051" TargetMode="External"/><Relationship Id="rId31" Type="http://schemas.openxmlformats.org/officeDocument/2006/relationships/hyperlink" Target="https://my.zakupki.prom.ua/remote/dispatcher/state_contracting_view/4395639" TargetMode="External"/><Relationship Id="rId52" Type="http://schemas.openxmlformats.org/officeDocument/2006/relationships/hyperlink" Target="https://my.zakupki.prom.ua/remote/dispatcher/state_purchase_view/14354119" TargetMode="External"/><Relationship Id="rId73" Type="http://schemas.openxmlformats.org/officeDocument/2006/relationships/hyperlink" Target="https://my.zakupki.prom.ua/remote/dispatcher/state_contracting_view/5185900" TargetMode="External"/><Relationship Id="rId94" Type="http://schemas.openxmlformats.org/officeDocument/2006/relationships/hyperlink" Target="https://my.zakupki.prom.ua/remote/dispatcher/state_purchase_view/19046985" TargetMode="External"/><Relationship Id="rId148" Type="http://schemas.openxmlformats.org/officeDocument/2006/relationships/hyperlink" Target="https://my.zakupki.prom.ua/remote/dispatcher/state_purchase_view/14673278" TargetMode="External"/><Relationship Id="rId169" Type="http://schemas.openxmlformats.org/officeDocument/2006/relationships/hyperlink" Target="https://my.zakupki.prom.ua/remote/dispatcher/state_contracting_view/4121338" TargetMode="External"/><Relationship Id="rId334" Type="http://schemas.openxmlformats.org/officeDocument/2006/relationships/hyperlink" Target="https://my.zakupki.prom.ua/remote/dispatcher/state_purchase_view/15960972" TargetMode="External"/><Relationship Id="rId355" Type="http://schemas.openxmlformats.org/officeDocument/2006/relationships/hyperlink" Target="https://my.zakupki.prom.ua/remote/dispatcher/state_contracting_view/4989709" TargetMode="External"/><Relationship Id="rId376" Type="http://schemas.openxmlformats.org/officeDocument/2006/relationships/hyperlink" Target="https://my.zakupki.prom.ua/remote/dispatcher/state_purchase_view/17354778" TargetMode="External"/><Relationship Id="rId397" Type="http://schemas.openxmlformats.org/officeDocument/2006/relationships/hyperlink" Target="https://my.zakupki.prom.ua/remote/dispatcher/state_contracting_view/6080048" TargetMode="External"/><Relationship Id="rId4" Type="http://schemas.openxmlformats.org/officeDocument/2006/relationships/hyperlink" Target="https://my.zakupki.prom.ua/remote/dispatcher/state_purchase_view/19742583" TargetMode="External"/><Relationship Id="rId180" Type="http://schemas.openxmlformats.org/officeDocument/2006/relationships/hyperlink" Target="https://my.zakupki.prom.ua/remote/dispatcher/state_purchase_view/18146067" TargetMode="External"/><Relationship Id="rId215" Type="http://schemas.openxmlformats.org/officeDocument/2006/relationships/hyperlink" Target="https://my.zakupki.prom.ua/remote/dispatcher/state_contracting_view/5096262" TargetMode="External"/><Relationship Id="rId236" Type="http://schemas.openxmlformats.org/officeDocument/2006/relationships/hyperlink" Target="https://my.zakupki.prom.ua/remote/dispatcher/state_purchase_view/15963218" TargetMode="External"/><Relationship Id="rId257" Type="http://schemas.openxmlformats.org/officeDocument/2006/relationships/hyperlink" Target="https://my.zakupki.prom.ua/remote/dispatcher/state_contracting_view/4749556" TargetMode="External"/><Relationship Id="rId278" Type="http://schemas.openxmlformats.org/officeDocument/2006/relationships/hyperlink" Target="https://my.zakupki.prom.ua/remote/dispatcher/state_purchase_view/14873850" TargetMode="External"/><Relationship Id="rId401" Type="http://schemas.openxmlformats.org/officeDocument/2006/relationships/hyperlink" Target="https://my.zakupki.prom.ua/remote/dispatcher/state_contracting_view/5099366" TargetMode="External"/><Relationship Id="rId422" Type="http://schemas.openxmlformats.org/officeDocument/2006/relationships/hyperlink" Target="https://my.zakupki.prom.ua/remote/dispatcher/state_purchase_view/16186460" TargetMode="External"/><Relationship Id="rId443" Type="http://schemas.openxmlformats.org/officeDocument/2006/relationships/hyperlink" Target="https://my.zakupki.prom.ua/remote/dispatcher/state_contracting_view/3619598" TargetMode="External"/><Relationship Id="rId464" Type="http://schemas.openxmlformats.org/officeDocument/2006/relationships/hyperlink" Target="https://my.zakupki.prom.ua/remote/dispatcher/state_purchase_view/19625190" TargetMode="External"/><Relationship Id="rId303" Type="http://schemas.openxmlformats.org/officeDocument/2006/relationships/hyperlink" Target="https://my.zakupki.prom.ua/remote/dispatcher/state_contracting_view/5473396" TargetMode="External"/><Relationship Id="rId485" Type="http://schemas.openxmlformats.org/officeDocument/2006/relationships/hyperlink" Target="https://my.zakupki.prom.ua/remote/dispatcher/state_contracting_view/3619631" TargetMode="External"/><Relationship Id="rId42" Type="http://schemas.openxmlformats.org/officeDocument/2006/relationships/hyperlink" Target="https://my.zakupki.prom.ua/remote/dispatcher/state_purchase_view/17638190" TargetMode="External"/><Relationship Id="rId84" Type="http://schemas.openxmlformats.org/officeDocument/2006/relationships/hyperlink" Target="https://my.zakupki.prom.ua/remote/dispatcher/state_purchase_view/19699657" TargetMode="External"/><Relationship Id="rId138" Type="http://schemas.openxmlformats.org/officeDocument/2006/relationships/hyperlink" Target="https://my.zakupki.prom.ua/remote/dispatcher/state_purchase_view/15912332" TargetMode="External"/><Relationship Id="rId345" Type="http://schemas.openxmlformats.org/officeDocument/2006/relationships/hyperlink" Target="https://my.zakupki.prom.ua/remote/dispatcher/state_contracting_view/6390423" TargetMode="External"/><Relationship Id="rId387" Type="http://schemas.openxmlformats.org/officeDocument/2006/relationships/hyperlink" Target="https://my.zakupki.prom.ua/remote/dispatcher/state_contracting_view/4711424" TargetMode="External"/><Relationship Id="rId510" Type="http://schemas.openxmlformats.org/officeDocument/2006/relationships/hyperlink" Target="https://my.zakupki.prom.ua/remote/dispatcher/state_purchase_view/19184877" TargetMode="External"/><Relationship Id="rId191" Type="http://schemas.openxmlformats.org/officeDocument/2006/relationships/hyperlink" Target="https://my.zakupki.prom.ua/remote/dispatcher/state_contracting_view/3654521" TargetMode="External"/><Relationship Id="rId205" Type="http://schemas.openxmlformats.org/officeDocument/2006/relationships/hyperlink" Target="https://my.zakupki.prom.ua/remote/dispatcher/state_contracting_view/3620574" TargetMode="External"/><Relationship Id="rId247" Type="http://schemas.openxmlformats.org/officeDocument/2006/relationships/hyperlink" Target="https://my.zakupki.prom.ua/remote/dispatcher/state_contracting_view/3779459" TargetMode="External"/><Relationship Id="rId412" Type="http://schemas.openxmlformats.org/officeDocument/2006/relationships/hyperlink" Target="https://my.zakupki.prom.ua/remote/dispatcher/state_purchase_view/15385765" TargetMode="External"/><Relationship Id="rId107" Type="http://schemas.openxmlformats.org/officeDocument/2006/relationships/hyperlink" Target="https://my.zakupki.prom.ua/remote/dispatcher/state_contracting_view/3619566" TargetMode="External"/><Relationship Id="rId289" Type="http://schemas.openxmlformats.org/officeDocument/2006/relationships/hyperlink" Target="https://my.zakupki.prom.ua/remote/dispatcher/state_contracting_view/5238296" TargetMode="External"/><Relationship Id="rId454" Type="http://schemas.openxmlformats.org/officeDocument/2006/relationships/hyperlink" Target="https://my.zakupki.prom.ua/remote/dispatcher/state_purchase_view/20209075" TargetMode="External"/><Relationship Id="rId496" Type="http://schemas.openxmlformats.org/officeDocument/2006/relationships/hyperlink" Target="https://my.zakupki.prom.ua/remote/dispatcher/state_purchase_view/18637071" TargetMode="External"/><Relationship Id="rId11" Type="http://schemas.openxmlformats.org/officeDocument/2006/relationships/hyperlink" Target="https://my.zakupki.prom.ua/remote/dispatcher/state_contracting_view/3617035" TargetMode="External"/><Relationship Id="rId53" Type="http://schemas.openxmlformats.org/officeDocument/2006/relationships/hyperlink" Target="https://my.zakupki.prom.ua/remote/dispatcher/state_contracting_view/3608415" TargetMode="External"/><Relationship Id="rId149" Type="http://schemas.openxmlformats.org/officeDocument/2006/relationships/hyperlink" Target="https://my.zakupki.prom.ua/remote/dispatcher/state_contracting_view/3660877" TargetMode="External"/><Relationship Id="rId314" Type="http://schemas.openxmlformats.org/officeDocument/2006/relationships/hyperlink" Target="https://my.zakupki.prom.ua/remote/dispatcher/state_purchase_view/14416430" TargetMode="External"/><Relationship Id="rId356" Type="http://schemas.openxmlformats.org/officeDocument/2006/relationships/hyperlink" Target="https://my.zakupki.prom.ua/remote/dispatcher/state_purchase_view/21364640" TargetMode="External"/><Relationship Id="rId398" Type="http://schemas.openxmlformats.org/officeDocument/2006/relationships/hyperlink" Target="https://my.zakupki.prom.ua/remote/dispatcher/state_purchase_view/18956632" TargetMode="External"/><Relationship Id="rId95" Type="http://schemas.openxmlformats.org/officeDocument/2006/relationships/hyperlink" Target="https://my.zakupki.prom.ua/remote/dispatcher/state_contracting_view/5378140" TargetMode="External"/><Relationship Id="rId160" Type="http://schemas.openxmlformats.org/officeDocument/2006/relationships/hyperlink" Target="https://my.zakupki.prom.ua/remote/dispatcher/state_purchase_view/15614862" TargetMode="External"/><Relationship Id="rId216" Type="http://schemas.openxmlformats.org/officeDocument/2006/relationships/hyperlink" Target="https://my.zakupki.prom.ua/remote/dispatcher/state_purchase_view/19117285" TargetMode="External"/><Relationship Id="rId423" Type="http://schemas.openxmlformats.org/officeDocument/2006/relationships/hyperlink" Target="https://my.zakupki.prom.ua/remote/dispatcher/state_contracting_view/4080513" TargetMode="External"/><Relationship Id="rId258" Type="http://schemas.openxmlformats.org/officeDocument/2006/relationships/hyperlink" Target="https://my.zakupki.prom.ua/remote/dispatcher/state_purchase_view/17873825" TargetMode="External"/><Relationship Id="rId465" Type="http://schemas.openxmlformats.org/officeDocument/2006/relationships/hyperlink" Target="https://my.zakupki.prom.ua/remote/dispatcher/state_contracting_view/6130239" TargetMode="External"/><Relationship Id="rId22" Type="http://schemas.openxmlformats.org/officeDocument/2006/relationships/hyperlink" Target="https://my.zakupki.prom.ua/remote/dispatcher/state_purchase_view/14863628" TargetMode="External"/><Relationship Id="rId64" Type="http://schemas.openxmlformats.org/officeDocument/2006/relationships/hyperlink" Target="https://my.zakupki.prom.ua/remote/dispatcher/state_purchase_view/16130891" TargetMode="External"/><Relationship Id="rId118" Type="http://schemas.openxmlformats.org/officeDocument/2006/relationships/hyperlink" Target="https://my.zakupki.prom.ua/remote/dispatcher/state_purchase_view/16295155" TargetMode="External"/><Relationship Id="rId325" Type="http://schemas.openxmlformats.org/officeDocument/2006/relationships/hyperlink" Target="https://my.zakupki.prom.ua/remote/dispatcher/state_contracting_view/4110440" TargetMode="External"/><Relationship Id="rId367" Type="http://schemas.openxmlformats.org/officeDocument/2006/relationships/hyperlink" Target="https://my.zakupki.prom.ua/remote/dispatcher/state_contracting_view/4087092" TargetMode="External"/><Relationship Id="rId171" Type="http://schemas.openxmlformats.org/officeDocument/2006/relationships/hyperlink" Target="https://my.zakupki.prom.ua/remote/dispatcher/state_contracting_view/4729128" TargetMode="External"/><Relationship Id="rId227" Type="http://schemas.openxmlformats.org/officeDocument/2006/relationships/hyperlink" Target="https://my.zakupki.prom.ua/remote/dispatcher/state_contracting_view/4362793" TargetMode="External"/><Relationship Id="rId269" Type="http://schemas.openxmlformats.org/officeDocument/2006/relationships/hyperlink" Target="https://my.zakupki.prom.ua/remote/dispatcher/state_contracting_view/7397353" TargetMode="External"/><Relationship Id="rId434" Type="http://schemas.openxmlformats.org/officeDocument/2006/relationships/hyperlink" Target="https://my.zakupki.prom.ua/remote/dispatcher/state_purchase_view/21134715" TargetMode="External"/><Relationship Id="rId476" Type="http://schemas.openxmlformats.org/officeDocument/2006/relationships/hyperlink" Target="https://my.zakupki.prom.ua/remote/dispatcher/state_purchase_view/14369563" TargetMode="External"/><Relationship Id="rId33" Type="http://schemas.openxmlformats.org/officeDocument/2006/relationships/hyperlink" Target="https://my.zakupki.prom.ua/remote/dispatcher/state_contracting_view/4418906" TargetMode="External"/><Relationship Id="rId129" Type="http://schemas.openxmlformats.org/officeDocument/2006/relationships/hyperlink" Target="https://my.zakupki.prom.ua/remote/dispatcher/state_contracting_view/5700482" TargetMode="External"/><Relationship Id="rId280" Type="http://schemas.openxmlformats.org/officeDocument/2006/relationships/hyperlink" Target="https://my.zakupki.prom.ua/remote/dispatcher/state_purchase_view/21670803" TargetMode="External"/><Relationship Id="rId336" Type="http://schemas.openxmlformats.org/officeDocument/2006/relationships/hyperlink" Target="https://my.zakupki.prom.ua/remote/dispatcher/state_purchase_view/16510157" TargetMode="External"/><Relationship Id="rId501" Type="http://schemas.openxmlformats.org/officeDocument/2006/relationships/hyperlink" Target="https://my.zakupki.prom.ua/remote/dispatcher/state_contracting_view/6440547" TargetMode="External"/><Relationship Id="rId75" Type="http://schemas.openxmlformats.org/officeDocument/2006/relationships/hyperlink" Target="https://my.zakupki.prom.ua/remote/dispatcher/state_contracting_view/6345989" TargetMode="External"/><Relationship Id="rId140" Type="http://schemas.openxmlformats.org/officeDocument/2006/relationships/hyperlink" Target="https://my.zakupki.prom.ua/remote/dispatcher/state_purchase_view/15985494" TargetMode="External"/><Relationship Id="rId182" Type="http://schemas.openxmlformats.org/officeDocument/2006/relationships/hyperlink" Target="https://my.zakupki.prom.ua/remote/dispatcher/state_purchase_view/17450374" TargetMode="External"/><Relationship Id="rId378" Type="http://schemas.openxmlformats.org/officeDocument/2006/relationships/hyperlink" Target="https://my.zakupki.prom.ua/remote/dispatcher/state_purchase_view/19610837" TargetMode="External"/><Relationship Id="rId403" Type="http://schemas.openxmlformats.org/officeDocument/2006/relationships/hyperlink" Target="https://my.zakupki.prom.ua/remote/dispatcher/state_contracting_view/4711484" TargetMode="External"/><Relationship Id="rId6" Type="http://schemas.openxmlformats.org/officeDocument/2006/relationships/hyperlink" Target="https://my.zakupki.prom.ua/remote/dispatcher/state_purchase_view/19014053" TargetMode="External"/><Relationship Id="rId238" Type="http://schemas.openxmlformats.org/officeDocument/2006/relationships/hyperlink" Target="https://my.zakupki.prom.ua/remote/dispatcher/state_purchase_view/15984650" TargetMode="External"/><Relationship Id="rId445" Type="http://schemas.openxmlformats.org/officeDocument/2006/relationships/hyperlink" Target="https://my.zakupki.prom.ua/remote/dispatcher/state_contracting_view/3749371" TargetMode="External"/><Relationship Id="rId487" Type="http://schemas.openxmlformats.org/officeDocument/2006/relationships/hyperlink" Target="https://my.zakupki.prom.ua/remote/dispatcher/state_contracting_view/3619556" TargetMode="External"/><Relationship Id="rId291" Type="http://schemas.openxmlformats.org/officeDocument/2006/relationships/hyperlink" Target="https://my.zakupki.prom.ua/remote/dispatcher/state_contracting_view/6236693" TargetMode="External"/><Relationship Id="rId305" Type="http://schemas.openxmlformats.org/officeDocument/2006/relationships/hyperlink" Target="https://my.zakupki.prom.ua/remote/dispatcher/state_contracting_view/3698124" TargetMode="External"/><Relationship Id="rId347" Type="http://schemas.openxmlformats.org/officeDocument/2006/relationships/hyperlink" Target="https://my.zakupki.prom.ua/remote/dispatcher/state_contracting_view/5550502" TargetMode="External"/><Relationship Id="rId512" Type="http://schemas.openxmlformats.org/officeDocument/2006/relationships/hyperlink" Target="https://my.zakupki.prom.ua/remote/dispatcher/state_purchase_view/17584315" TargetMode="External"/><Relationship Id="rId44" Type="http://schemas.openxmlformats.org/officeDocument/2006/relationships/hyperlink" Target="https://my.zakupki.prom.ua/remote/dispatcher/state_purchase_view/17407021" TargetMode="External"/><Relationship Id="rId86" Type="http://schemas.openxmlformats.org/officeDocument/2006/relationships/hyperlink" Target="https://my.zakupki.prom.ua/remote/dispatcher/state_purchase_view/21511800" TargetMode="External"/><Relationship Id="rId151" Type="http://schemas.openxmlformats.org/officeDocument/2006/relationships/hyperlink" Target="https://my.zakupki.prom.ua/remote/dispatcher/state_contracting_view/3749276" TargetMode="External"/><Relationship Id="rId389" Type="http://schemas.openxmlformats.org/officeDocument/2006/relationships/hyperlink" Target="https://my.zakupki.prom.ua/remote/dispatcher/state_contracting_view/4785348" TargetMode="External"/><Relationship Id="rId193" Type="http://schemas.openxmlformats.org/officeDocument/2006/relationships/hyperlink" Target="https://my.zakupki.prom.ua/remote/dispatcher/state_contracting_view/5907638" TargetMode="External"/><Relationship Id="rId207" Type="http://schemas.openxmlformats.org/officeDocument/2006/relationships/hyperlink" Target="https://my.zakupki.prom.ua/remote/dispatcher/state_contracting_view/3705459" TargetMode="External"/><Relationship Id="rId249" Type="http://schemas.openxmlformats.org/officeDocument/2006/relationships/hyperlink" Target="https://my.zakupki.prom.ua/remote/dispatcher/state_contracting_view/3834722" TargetMode="External"/><Relationship Id="rId414" Type="http://schemas.openxmlformats.org/officeDocument/2006/relationships/hyperlink" Target="https://my.zakupki.prom.ua/remote/dispatcher/state_purchase_view/15614811" TargetMode="External"/><Relationship Id="rId456" Type="http://schemas.openxmlformats.org/officeDocument/2006/relationships/hyperlink" Target="https://my.zakupki.prom.ua/remote/dispatcher/state_purchase_view/20832003" TargetMode="External"/><Relationship Id="rId498" Type="http://schemas.openxmlformats.org/officeDocument/2006/relationships/hyperlink" Target="https://my.zakupki.prom.ua/remote/dispatcher/state_purchase_view/17037196" TargetMode="External"/><Relationship Id="rId13" Type="http://schemas.openxmlformats.org/officeDocument/2006/relationships/hyperlink" Target="https://my.zakupki.prom.ua/remote/dispatcher/state_contracting_view/3651515" TargetMode="External"/><Relationship Id="rId109" Type="http://schemas.openxmlformats.org/officeDocument/2006/relationships/hyperlink" Target="https://my.zakupki.prom.ua/remote/dispatcher/state_contracting_view/3779364" TargetMode="External"/><Relationship Id="rId260" Type="http://schemas.openxmlformats.org/officeDocument/2006/relationships/hyperlink" Target="https://my.zakupki.prom.ua/remote/dispatcher/state_purchase_view/14354082" TargetMode="External"/><Relationship Id="rId316" Type="http://schemas.openxmlformats.org/officeDocument/2006/relationships/hyperlink" Target="https://my.zakupki.prom.ua/remote/dispatcher/state_purchase_view/21159197" TargetMode="External"/><Relationship Id="rId55" Type="http://schemas.openxmlformats.org/officeDocument/2006/relationships/hyperlink" Target="https://my.zakupki.prom.ua/remote/dispatcher/state_contracting_view/3608428" TargetMode="External"/><Relationship Id="rId97" Type="http://schemas.openxmlformats.org/officeDocument/2006/relationships/hyperlink" Target="https://my.zakupki.prom.ua/remote/dispatcher/state_contracting_view/3696692" TargetMode="External"/><Relationship Id="rId120" Type="http://schemas.openxmlformats.org/officeDocument/2006/relationships/hyperlink" Target="https://my.zakupki.prom.ua/remote/dispatcher/state_purchase_view/19031449" TargetMode="External"/><Relationship Id="rId358" Type="http://schemas.openxmlformats.org/officeDocument/2006/relationships/hyperlink" Target="https://my.zakupki.prom.ua/remote/dispatcher/state_purchase_view/14416024" TargetMode="External"/><Relationship Id="rId162" Type="http://schemas.openxmlformats.org/officeDocument/2006/relationships/hyperlink" Target="https://my.zakupki.prom.ua/remote/dispatcher/state_purchase_view/19496593" TargetMode="External"/><Relationship Id="rId218" Type="http://schemas.openxmlformats.org/officeDocument/2006/relationships/hyperlink" Target="https://my.zakupki.prom.ua/remote/dispatcher/state_purchase_view/17348488" TargetMode="External"/><Relationship Id="rId425" Type="http://schemas.openxmlformats.org/officeDocument/2006/relationships/hyperlink" Target="https://my.zakupki.prom.ua/remote/dispatcher/state_contracting_view/4061958" TargetMode="External"/><Relationship Id="rId467" Type="http://schemas.openxmlformats.org/officeDocument/2006/relationships/hyperlink" Target="https://my.zakupki.prom.ua/remote/dispatcher/state_contracting_view/5699711" TargetMode="External"/><Relationship Id="rId271" Type="http://schemas.openxmlformats.org/officeDocument/2006/relationships/hyperlink" Target="https://my.zakupki.prom.ua/remote/dispatcher/state_contracting_view/3669098" TargetMode="External"/><Relationship Id="rId24" Type="http://schemas.openxmlformats.org/officeDocument/2006/relationships/hyperlink" Target="https://my.zakupki.prom.ua/remote/dispatcher/state_purchase_view/16131666" TargetMode="External"/><Relationship Id="rId66" Type="http://schemas.openxmlformats.org/officeDocument/2006/relationships/hyperlink" Target="https://my.zakupki.prom.ua/remote/dispatcher/state_purchase_view/15646063" TargetMode="External"/><Relationship Id="rId131" Type="http://schemas.openxmlformats.org/officeDocument/2006/relationships/hyperlink" Target="https://my.zakupki.prom.ua/remote/dispatcher/state_contracting_view/5759828" TargetMode="External"/><Relationship Id="rId327" Type="http://schemas.openxmlformats.org/officeDocument/2006/relationships/hyperlink" Target="https://my.zakupki.prom.ua/remote/dispatcher/state_contracting_view/4102406" TargetMode="External"/><Relationship Id="rId369" Type="http://schemas.openxmlformats.org/officeDocument/2006/relationships/hyperlink" Target="https://my.zakupki.prom.ua/remote/dispatcher/state_contracting_view/4206669" TargetMode="External"/><Relationship Id="rId173" Type="http://schemas.openxmlformats.org/officeDocument/2006/relationships/hyperlink" Target="https://my.zakupki.prom.ua/remote/dispatcher/state_contracting_view/4711510" TargetMode="External"/><Relationship Id="rId229" Type="http://schemas.openxmlformats.org/officeDocument/2006/relationships/hyperlink" Target="https://my.zakupki.prom.ua/remote/dispatcher/state_contracting_view/6057246" TargetMode="External"/><Relationship Id="rId380" Type="http://schemas.openxmlformats.org/officeDocument/2006/relationships/hyperlink" Target="https://my.zakupki.prom.ua/remote/dispatcher/state_purchase_view/19221642" TargetMode="External"/><Relationship Id="rId436" Type="http://schemas.openxmlformats.org/officeDocument/2006/relationships/hyperlink" Target="https://my.zakupki.prom.ua/remote/dispatcher/state_purchase_view/22042476" TargetMode="External"/><Relationship Id="rId240" Type="http://schemas.openxmlformats.org/officeDocument/2006/relationships/hyperlink" Target="https://my.zakupki.prom.ua/remote/dispatcher/state_purchase_view/16305213" TargetMode="External"/><Relationship Id="rId478" Type="http://schemas.openxmlformats.org/officeDocument/2006/relationships/hyperlink" Target="https://my.zakupki.prom.ua/remote/dispatcher/state_purchase_view/144033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3"/>
  <sheetViews>
    <sheetView tabSelected="1" topLeftCell="F1" workbookViewId="0">
      <pane ySplit="4" topLeftCell="A191" activePane="bottomLeft" state="frozen"/>
      <selection pane="bottomLeft" activeCell="N30" sqref="N30"/>
    </sheetView>
  </sheetViews>
  <sheetFormatPr defaultColWidth="11.42578125" defaultRowHeight="15" x14ac:dyDescent="0.25"/>
  <cols>
    <col min="1" max="1" width="5"/>
    <col min="2" max="3" width="25"/>
    <col min="4" max="6" width="35"/>
    <col min="7" max="8" width="30"/>
    <col min="9" max="11" width="15"/>
    <col min="12" max="14" width="10"/>
  </cols>
  <sheetData>
    <row r="1" spans="1:15" x14ac:dyDescent="0.25">
      <c r="A1" s="1" t="s">
        <v>1125</v>
      </c>
    </row>
    <row r="2" spans="1:15" x14ac:dyDescent="0.25">
      <c r="A2" s="2" t="s">
        <v>751</v>
      </c>
    </row>
    <row r="3" spans="1:15" ht="15.75" thickBot="1" x14ac:dyDescent="0.3"/>
    <row r="4" spans="1:15" ht="39.75" thickBot="1" x14ac:dyDescent="0.3">
      <c r="A4" s="3" t="s">
        <v>1159</v>
      </c>
      <c r="B4" s="3" t="s">
        <v>757</v>
      </c>
      <c r="C4" s="3" t="s">
        <v>750</v>
      </c>
      <c r="D4" s="3" t="s">
        <v>1101</v>
      </c>
      <c r="E4" s="3" t="s">
        <v>975</v>
      </c>
      <c r="F4" s="3" t="s">
        <v>880</v>
      </c>
      <c r="G4" s="3" t="s">
        <v>1093</v>
      </c>
      <c r="H4" s="3" t="s">
        <v>944</v>
      </c>
      <c r="I4" s="3" t="s">
        <v>753</v>
      </c>
      <c r="J4" s="3" t="s">
        <v>917</v>
      </c>
      <c r="K4" s="3" t="s">
        <v>1009</v>
      </c>
      <c r="L4" s="3" t="s">
        <v>839</v>
      </c>
      <c r="M4" s="3" t="s">
        <v>838</v>
      </c>
      <c r="N4" s="3" t="s">
        <v>1006</v>
      </c>
      <c r="O4" s="3" t="s">
        <v>1160</v>
      </c>
    </row>
    <row r="5" spans="1:15" x14ac:dyDescent="0.25">
      <c r="A5" s="4">
        <v>1</v>
      </c>
      <c r="B5" s="2" t="str">
        <f>HYPERLINK("https://my.zakupki.prom.ua/remote/dispatcher/state_purchase_view/16945058", "UA-2020-05-29-005227-b")</f>
        <v>UA-2020-05-29-005227-b</v>
      </c>
      <c r="C5" s="2" t="str">
        <f>HYPERLINK("https://my.zakupki.prom.ua/remote/dispatcher/state_contracting_view/4696516", "UA-2020-05-29-005227-b-a1")</f>
        <v>UA-2020-05-29-005227-b-a1</v>
      </c>
      <c r="D5" s="1" t="s">
        <v>851</v>
      </c>
      <c r="E5" s="1" t="s">
        <v>1145</v>
      </c>
      <c r="F5" s="1" t="s">
        <v>317</v>
      </c>
      <c r="G5" s="1" t="s">
        <v>843</v>
      </c>
      <c r="H5" s="1" t="s">
        <v>847</v>
      </c>
      <c r="I5" s="1" t="s">
        <v>528</v>
      </c>
      <c r="J5" s="1" t="s">
        <v>163</v>
      </c>
      <c r="K5" s="5">
        <v>707000</v>
      </c>
      <c r="L5" s="6">
        <v>44008</v>
      </c>
      <c r="M5" s="6">
        <v>44196</v>
      </c>
      <c r="N5" s="1" t="s">
        <v>1136</v>
      </c>
      <c r="O5" s="1" t="s">
        <v>1161</v>
      </c>
    </row>
    <row r="6" spans="1:15" x14ac:dyDescent="0.25">
      <c r="A6" s="4">
        <v>2</v>
      </c>
      <c r="B6" s="2" t="str">
        <f>HYPERLINK("https://my.zakupki.prom.ua/remote/dispatcher/state_purchase_view/19742583", "UA-2020-10-01-003069-a")</f>
        <v>UA-2020-10-01-003069-a</v>
      </c>
      <c r="C6" s="2" t="str">
        <f>HYPERLINK("https://my.zakupki.prom.ua/remote/dispatcher/state_contracting_view/6090700", "UA-2020-10-01-003069-a-a1")</f>
        <v>UA-2020-10-01-003069-a-a1</v>
      </c>
      <c r="D6" s="1" t="s">
        <v>595</v>
      </c>
      <c r="E6" s="1" t="s">
        <v>1142</v>
      </c>
      <c r="F6" s="1" t="s">
        <v>594</v>
      </c>
      <c r="G6" s="1" t="s">
        <v>843</v>
      </c>
      <c r="H6" s="1" t="s">
        <v>921</v>
      </c>
      <c r="I6" s="1" t="s">
        <v>269</v>
      </c>
      <c r="J6" s="1" t="s">
        <v>413</v>
      </c>
      <c r="K6" s="5">
        <v>81000</v>
      </c>
      <c r="L6" s="6">
        <v>44131</v>
      </c>
      <c r="M6" s="6">
        <v>44196</v>
      </c>
      <c r="N6" s="1" t="s">
        <v>1136</v>
      </c>
      <c r="O6" s="1" t="s">
        <v>1161</v>
      </c>
    </row>
    <row r="7" spans="1:15" x14ac:dyDescent="0.25">
      <c r="A7" s="4">
        <v>3</v>
      </c>
      <c r="B7" s="2" t="str">
        <f>HYPERLINK("https://my.zakupki.prom.ua/remote/dispatcher/state_purchase_view/19014053", "UA-2020-09-04-004717-b")</f>
        <v>UA-2020-09-04-004717-b</v>
      </c>
      <c r="C7" s="2" t="str">
        <f>HYPERLINK("https://my.zakupki.prom.ua/remote/dispatcher/state_contracting_view/5701409", "UA-2020-09-04-004717-b-b1")</f>
        <v>UA-2020-09-04-004717-b-b1</v>
      </c>
      <c r="D7" s="1" t="s">
        <v>1008</v>
      </c>
      <c r="E7" s="1" t="s">
        <v>1008</v>
      </c>
      <c r="F7" s="1" t="s">
        <v>697</v>
      </c>
      <c r="G7" s="1" t="s">
        <v>843</v>
      </c>
      <c r="H7" s="1" t="s">
        <v>936</v>
      </c>
      <c r="I7" s="1" t="s">
        <v>2</v>
      </c>
      <c r="J7" s="1" t="s">
        <v>300</v>
      </c>
      <c r="K7" s="5">
        <v>35000</v>
      </c>
      <c r="L7" s="6">
        <v>44102</v>
      </c>
      <c r="M7" s="6">
        <v>44196</v>
      </c>
      <c r="N7" s="1" t="s">
        <v>1136</v>
      </c>
      <c r="O7" s="1" t="s">
        <v>1161</v>
      </c>
    </row>
    <row r="8" spans="1:15" x14ac:dyDescent="0.25">
      <c r="A8" s="4">
        <v>4</v>
      </c>
      <c r="B8" s="2" t="str">
        <f>HYPERLINK("https://my.zakupki.prom.ua/remote/dispatcher/state_purchase_view/14354158", "UA-2019-12-29-000117-c")</f>
        <v>UA-2019-12-29-000117-c</v>
      </c>
      <c r="C8" s="2" t="str">
        <f>HYPERLINK("https://my.zakupki.prom.ua/remote/dispatcher/state_contracting_view/3608421", "UA-2019-12-29-000117-c-c1")</f>
        <v>UA-2019-12-29-000117-c-c1</v>
      </c>
      <c r="D8" s="1" t="s">
        <v>52</v>
      </c>
      <c r="E8" s="1" t="s">
        <v>52</v>
      </c>
      <c r="F8" s="1" t="s">
        <v>51</v>
      </c>
      <c r="G8" s="1" t="s">
        <v>860</v>
      </c>
      <c r="H8" s="1" t="s">
        <v>1064</v>
      </c>
      <c r="I8" s="1" t="s">
        <v>195</v>
      </c>
      <c r="J8" s="1" t="s">
        <v>701</v>
      </c>
      <c r="K8" s="5">
        <v>90000</v>
      </c>
      <c r="L8" s="6">
        <v>43828</v>
      </c>
      <c r="M8" s="6">
        <v>44196</v>
      </c>
      <c r="N8" s="1" t="s">
        <v>1127</v>
      </c>
      <c r="O8" s="1" t="s">
        <v>1161</v>
      </c>
    </row>
    <row r="9" spans="1:15" x14ac:dyDescent="0.25">
      <c r="A9" s="4">
        <v>5</v>
      </c>
      <c r="B9" s="2" t="str">
        <f>HYPERLINK("https://my.zakupki.prom.ua/remote/dispatcher/state_purchase_view/14403051", "UA-2020-01-09-000038-c")</f>
        <v>UA-2020-01-09-000038-c</v>
      </c>
      <c r="C9" s="2" t="str">
        <f>HYPERLINK("https://my.zakupki.prom.ua/remote/dispatcher/state_contracting_view/3617035", "UA-2020-01-09-000038-c-c1")</f>
        <v>UA-2020-01-09-000038-c-c1</v>
      </c>
      <c r="D9" s="1" t="s">
        <v>609</v>
      </c>
      <c r="E9" s="1" t="s">
        <v>610</v>
      </c>
      <c r="F9" s="1" t="s">
        <v>605</v>
      </c>
      <c r="G9" s="1" t="s">
        <v>860</v>
      </c>
      <c r="H9" s="1" t="s">
        <v>1057</v>
      </c>
      <c r="I9" s="1" t="s">
        <v>5</v>
      </c>
      <c r="J9" s="1" t="s">
        <v>86</v>
      </c>
      <c r="K9" s="5">
        <v>200000</v>
      </c>
      <c r="L9" s="6">
        <v>43838</v>
      </c>
      <c r="M9" s="6">
        <v>44196</v>
      </c>
      <c r="N9" s="1" t="s">
        <v>1127</v>
      </c>
      <c r="O9" s="1" t="s">
        <v>1161</v>
      </c>
    </row>
    <row r="10" spans="1:15" x14ac:dyDescent="0.25">
      <c r="A10" s="4">
        <v>6</v>
      </c>
      <c r="B10" s="2" t="str">
        <f>HYPERLINK("https://my.zakupki.prom.ua/remote/dispatcher/state_purchase_view/14635802", "UA-2020-01-20-004418-c")</f>
        <v>UA-2020-01-20-004418-c</v>
      </c>
      <c r="C10" s="2" t="str">
        <f>HYPERLINK("https://my.zakupki.prom.ua/remote/dispatcher/state_contracting_view/3651515", "UA-2020-01-20-004418-c-c1")</f>
        <v>UA-2020-01-20-004418-c-c1</v>
      </c>
      <c r="D10" s="1" t="s">
        <v>59</v>
      </c>
      <c r="E10" s="1" t="s">
        <v>60</v>
      </c>
      <c r="F10" s="1" t="s">
        <v>57</v>
      </c>
      <c r="G10" s="1" t="s">
        <v>860</v>
      </c>
      <c r="H10" s="1" t="s">
        <v>1066</v>
      </c>
      <c r="I10" s="1" t="s">
        <v>517</v>
      </c>
      <c r="J10" s="1" t="s">
        <v>646</v>
      </c>
      <c r="K10" s="5">
        <v>150000</v>
      </c>
      <c r="L10" s="6">
        <v>43850</v>
      </c>
      <c r="M10" s="6">
        <v>44196</v>
      </c>
      <c r="N10" s="1" t="s">
        <v>1127</v>
      </c>
      <c r="O10" s="1" t="s">
        <v>1161</v>
      </c>
    </row>
    <row r="11" spans="1:15" x14ac:dyDescent="0.25">
      <c r="A11" s="4">
        <v>7</v>
      </c>
      <c r="B11" s="2" t="str">
        <f>HYPERLINK("https://my.zakupki.prom.ua/remote/dispatcher/state_purchase_view/14718880", "UA-2020-01-22-003212-a")</f>
        <v>UA-2020-01-22-003212-a</v>
      </c>
      <c r="C11" s="2" t="str">
        <f>HYPERLINK("https://my.zakupki.prom.ua/remote/dispatcher/state_contracting_view/3669199", "UA-2020-01-22-003212-a-a1")</f>
        <v>UA-2020-01-22-003212-a-a1</v>
      </c>
      <c r="D11" s="1" t="s">
        <v>293</v>
      </c>
      <c r="E11" s="1" t="s">
        <v>294</v>
      </c>
      <c r="F11" s="1" t="s">
        <v>290</v>
      </c>
      <c r="G11" s="1" t="s">
        <v>860</v>
      </c>
      <c r="H11" s="1" t="s">
        <v>1077</v>
      </c>
      <c r="I11" s="1" t="s">
        <v>438</v>
      </c>
      <c r="J11" s="1" t="s">
        <v>688</v>
      </c>
      <c r="K11" s="5">
        <v>150000</v>
      </c>
      <c r="L11" s="6">
        <v>43852</v>
      </c>
      <c r="M11" s="6">
        <v>44196</v>
      </c>
      <c r="N11" s="1" t="s">
        <v>1127</v>
      </c>
      <c r="O11" s="1" t="s">
        <v>1161</v>
      </c>
    </row>
    <row r="12" spans="1:15" x14ac:dyDescent="0.25">
      <c r="A12" s="4">
        <v>8</v>
      </c>
      <c r="B12" s="2" t="str">
        <f>HYPERLINK("https://my.zakupki.prom.ua/remote/dispatcher/state_purchase_view/15008124", "UA-2020-01-31-003378-a")</f>
        <v>UA-2020-01-31-003378-a</v>
      </c>
      <c r="C12" s="2" t="str">
        <f>HYPERLINK("https://my.zakupki.prom.ua/remote/dispatcher/state_contracting_view/3730470", "UA-2020-01-31-003378-a-a1")</f>
        <v>UA-2020-01-31-003378-a-a1</v>
      </c>
      <c r="D12" s="1" t="s">
        <v>597</v>
      </c>
      <c r="E12" s="1" t="s">
        <v>597</v>
      </c>
      <c r="F12" s="1" t="s">
        <v>594</v>
      </c>
      <c r="G12" s="1" t="s">
        <v>860</v>
      </c>
      <c r="H12" s="1" t="s">
        <v>1076</v>
      </c>
      <c r="I12" s="1" t="s">
        <v>104</v>
      </c>
      <c r="J12" s="1" t="s">
        <v>717</v>
      </c>
      <c r="K12" s="5">
        <v>120000</v>
      </c>
      <c r="L12" s="6">
        <v>43861</v>
      </c>
      <c r="M12" s="6">
        <v>44196</v>
      </c>
      <c r="N12" s="1" t="s">
        <v>1127</v>
      </c>
      <c r="O12" s="1" t="s">
        <v>1161</v>
      </c>
    </row>
    <row r="13" spans="1:15" x14ac:dyDescent="0.25">
      <c r="A13" s="4">
        <v>9</v>
      </c>
      <c r="B13" s="2" t="str">
        <f>HYPERLINK("https://my.zakupki.prom.ua/remote/dispatcher/state_purchase_view/14673198", "UA-2020-01-21-003919-a")</f>
        <v>UA-2020-01-21-003919-a</v>
      </c>
      <c r="C13" s="2" t="str">
        <f>HYPERLINK("https://my.zakupki.prom.ua/remote/dispatcher/state_contracting_view/3660846", "UA-2020-01-21-003919-a-a1")</f>
        <v>UA-2020-01-21-003919-a-a1</v>
      </c>
      <c r="D13" s="1" t="s">
        <v>324</v>
      </c>
      <c r="E13" s="1" t="s">
        <v>325</v>
      </c>
      <c r="F13" s="1" t="s">
        <v>323</v>
      </c>
      <c r="G13" s="1" t="s">
        <v>860</v>
      </c>
      <c r="H13" s="1" t="s">
        <v>1116</v>
      </c>
      <c r="I13" s="1" t="s">
        <v>218</v>
      </c>
      <c r="J13" s="1" t="s">
        <v>663</v>
      </c>
      <c r="K13" s="5">
        <v>200000</v>
      </c>
      <c r="L13" s="6">
        <v>43851</v>
      </c>
      <c r="M13" s="6">
        <v>44196</v>
      </c>
      <c r="N13" s="1" t="s">
        <v>1127</v>
      </c>
      <c r="O13" s="1" t="s">
        <v>1161</v>
      </c>
    </row>
    <row r="14" spans="1:15" x14ac:dyDescent="0.25">
      <c r="A14" s="4">
        <v>10</v>
      </c>
      <c r="B14" s="2" t="str">
        <f>HYPERLINK("https://my.zakupki.prom.ua/remote/dispatcher/state_purchase_view/14778651", "UA-2020-01-23-004993-a")</f>
        <v>UA-2020-01-23-004993-a</v>
      </c>
      <c r="C14" s="2" t="str">
        <f>HYPERLINK("https://my.zakupki.prom.ua/remote/dispatcher/state_contracting_view/3678251", "UA-2020-01-23-004993-a-a1")</f>
        <v>UA-2020-01-23-004993-a-a1</v>
      </c>
      <c r="D14" s="1" t="s">
        <v>545</v>
      </c>
      <c r="E14" s="1" t="s">
        <v>546</v>
      </c>
      <c r="F14" s="1" t="s">
        <v>543</v>
      </c>
      <c r="G14" s="1" t="s">
        <v>860</v>
      </c>
      <c r="H14" s="1" t="s">
        <v>872</v>
      </c>
      <c r="I14" s="1" t="s">
        <v>246</v>
      </c>
      <c r="J14" s="1" t="s">
        <v>690</v>
      </c>
      <c r="K14" s="5">
        <v>200000</v>
      </c>
      <c r="L14" s="6">
        <v>43853</v>
      </c>
      <c r="M14" s="6">
        <v>44196</v>
      </c>
      <c r="N14" s="1" t="s">
        <v>1127</v>
      </c>
      <c r="O14" s="1" t="s">
        <v>1161</v>
      </c>
    </row>
    <row r="15" spans="1:15" x14ac:dyDescent="0.25">
      <c r="A15" s="4">
        <v>11</v>
      </c>
      <c r="B15" s="2" t="str">
        <f>HYPERLINK("https://my.zakupki.prom.ua/remote/dispatcher/state_purchase_view/14863628", "UA-2020-01-27-003968-a")</f>
        <v>UA-2020-01-27-003968-a</v>
      </c>
      <c r="C15" s="2" t="str">
        <f>HYPERLINK("https://my.zakupki.prom.ua/remote/dispatcher/state_contracting_view/3695584", "UA-2020-01-27-003968-a-a1")</f>
        <v>UA-2020-01-27-003968-a-a1</v>
      </c>
      <c r="D15" s="1" t="s">
        <v>591</v>
      </c>
      <c r="E15" s="1" t="s">
        <v>592</v>
      </c>
      <c r="F15" s="1" t="s">
        <v>589</v>
      </c>
      <c r="G15" s="1" t="s">
        <v>860</v>
      </c>
      <c r="H15" s="1" t="s">
        <v>1063</v>
      </c>
      <c r="I15" s="1" t="s">
        <v>527</v>
      </c>
      <c r="J15" s="1" t="s">
        <v>695</v>
      </c>
      <c r="K15" s="5">
        <v>200000</v>
      </c>
      <c r="L15" s="6">
        <v>43857</v>
      </c>
      <c r="M15" s="6">
        <v>44196</v>
      </c>
      <c r="N15" s="1" t="s">
        <v>1127</v>
      </c>
      <c r="O15" s="1" t="s">
        <v>1161</v>
      </c>
    </row>
    <row r="16" spans="1:15" x14ac:dyDescent="0.25">
      <c r="A16" s="4">
        <v>12</v>
      </c>
      <c r="B16" s="2" t="str">
        <f>HYPERLINK("https://my.zakupki.prom.ua/remote/dispatcher/state_purchase_view/16131666", "UA-2020-04-06-002799-b")</f>
        <v>UA-2020-04-06-002799-b</v>
      </c>
      <c r="C16" s="2" t="str">
        <f>HYPERLINK("https://my.zakupki.prom.ua/remote/dispatcher/state_contracting_view/4061241", "UA-2020-04-06-002799-b-b1")</f>
        <v>UA-2020-04-06-002799-b-b1</v>
      </c>
      <c r="D16" s="1" t="s">
        <v>598</v>
      </c>
      <c r="E16" s="1" t="s">
        <v>598</v>
      </c>
      <c r="F16" s="1" t="s">
        <v>594</v>
      </c>
      <c r="G16" s="1" t="s">
        <v>860</v>
      </c>
      <c r="H16" s="1" t="s">
        <v>1084</v>
      </c>
      <c r="I16" s="1" t="s">
        <v>341</v>
      </c>
      <c r="J16" s="1" t="s">
        <v>74</v>
      </c>
      <c r="K16" s="5">
        <v>25497.5</v>
      </c>
      <c r="L16" s="6">
        <v>43927</v>
      </c>
      <c r="M16" s="6">
        <v>44196</v>
      </c>
      <c r="N16" s="1" t="s">
        <v>1127</v>
      </c>
      <c r="O16" s="1" t="s">
        <v>1161</v>
      </c>
    </row>
    <row r="17" spans="1:15" x14ac:dyDescent="0.25">
      <c r="A17" s="4">
        <v>13</v>
      </c>
      <c r="B17" s="2" t="str">
        <f>HYPERLINK("https://my.zakupki.prom.ua/remote/dispatcher/state_purchase_view/15914755", "UA-2020-03-23-003872-b")</f>
        <v>UA-2020-03-23-003872-b</v>
      </c>
      <c r="C17" s="2" t="str">
        <f>HYPERLINK("https://my.zakupki.prom.ua/remote/dispatcher/state_contracting_view/3985805", "UA-2020-03-23-003872-b-b1")</f>
        <v>UA-2020-03-23-003872-b-b1</v>
      </c>
      <c r="D17" s="1" t="s">
        <v>410</v>
      </c>
      <c r="E17" s="1" t="s">
        <v>411</v>
      </c>
      <c r="F17" s="1" t="s">
        <v>408</v>
      </c>
      <c r="G17" s="1" t="s">
        <v>860</v>
      </c>
      <c r="H17" s="1" t="s">
        <v>930</v>
      </c>
      <c r="I17" s="1" t="s">
        <v>208</v>
      </c>
      <c r="J17" s="1" t="s">
        <v>49</v>
      </c>
      <c r="K17" s="5">
        <v>50000</v>
      </c>
      <c r="L17" s="6">
        <v>43913</v>
      </c>
      <c r="M17" s="6">
        <v>44196</v>
      </c>
      <c r="N17" s="1" t="s">
        <v>1127</v>
      </c>
      <c r="O17" s="1" t="s">
        <v>1161</v>
      </c>
    </row>
    <row r="18" spans="1:15" x14ac:dyDescent="0.25">
      <c r="A18" s="4">
        <v>14</v>
      </c>
      <c r="B18" s="2" t="str">
        <f>HYPERLINK("https://my.zakupki.prom.ua/remote/dispatcher/state_purchase_view/16028700", "UA-2020-03-30-002395-b")</f>
        <v>UA-2020-03-30-002395-b</v>
      </c>
      <c r="C18" s="2" t="str">
        <f>HYPERLINK("https://my.zakupki.prom.ua/remote/dispatcher/state_contracting_view/4025163", "UA-2020-03-30-002395-b-b1")</f>
        <v>UA-2020-03-30-002395-b-b1</v>
      </c>
      <c r="D18" s="1" t="s">
        <v>398</v>
      </c>
      <c r="E18" s="1" t="s">
        <v>398</v>
      </c>
      <c r="F18" s="1" t="s">
        <v>395</v>
      </c>
      <c r="G18" s="1" t="s">
        <v>860</v>
      </c>
      <c r="H18" s="1" t="s">
        <v>898</v>
      </c>
      <c r="I18" s="1" t="s">
        <v>42</v>
      </c>
      <c r="J18" s="1" t="s">
        <v>71</v>
      </c>
      <c r="K18" s="5">
        <v>250000</v>
      </c>
      <c r="L18" s="6">
        <v>43920</v>
      </c>
      <c r="M18" s="6">
        <v>44196</v>
      </c>
      <c r="N18" s="1" t="s">
        <v>1127</v>
      </c>
      <c r="O18" s="1" t="s">
        <v>1161</v>
      </c>
    </row>
    <row r="19" spans="1:15" x14ac:dyDescent="0.25">
      <c r="A19" s="4">
        <v>15</v>
      </c>
      <c r="B19" s="2" t="str">
        <f>HYPERLINK("https://my.zakupki.prom.ua/remote/dispatcher/state_purchase_view/16938737", "UA-2020-05-29-003171-b")</f>
        <v>UA-2020-05-29-003171-b</v>
      </c>
      <c r="C19" s="2" t="str">
        <f>HYPERLINK("https://my.zakupki.prom.ua/remote/dispatcher/state_contracting_view/4395639", "UA-2020-05-29-003171-b-b1")</f>
        <v>UA-2020-05-29-003171-b-b1</v>
      </c>
      <c r="D19" s="1" t="s">
        <v>647</v>
      </c>
      <c r="E19" s="1" t="s">
        <v>985</v>
      </c>
      <c r="F19" s="1" t="s">
        <v>648</v>
      </c>
      <c r="G19" s="1" t="s">
        <v>860</v>
      </c>
      <c r="H19" s="1" t="s">
        <v>1109</v>
      </c>
      <c r="I19" s="1" t="s">
        <v>360</v>
      </c>
      <c r="J19" s="1" t="s">
        <v>115</v>
      </c>
      <c r="K19" s="5">
        <v>7680</v>
      </c>
      <c r="L19" s="6">
        <v>43978</v>
      </c>
      <c r="M19" s="6">
        <v>44196</v>
      </c>
      <c r="N19" s="1" t="s">
        <v>1127</v>
      </c>
      <c r="O19" s="1" t="s">
        <v>1161</v>
      </c>
    </row>
    <row r="20" spans="1:15" x14ac:dyDescent="0.25">
      <c r="A20" s="4">
        <v>16</v>
      </c>
      <c r="B20" s="2" t="str">
        <f>HYPERLINK("https://my.zakupki.prom.ua/remote/dispatcher/state_purchase_view/16992200", "UA-2020-06-02-005901-b")</f>
        <v>UA-2020-06-02-005901-b</v>
      </c>
      <c r="C20" s="2" t="str">
        <f>HYPERLINK("https://my.zakupki.prom.ua/remote/dispatcher/state_contracting_view/4418906", "UA-2020-06-02-005901-b-b1")</f>
        <v>UA-2020-06-02-005901-b-b1</v>
      </c>
      <c r="D20" s="1" t="s">
        <v>1090</v>
      </c>
      <c r="E20" s="1" t="s">
        <v>1152</v>
      </c>
      <c r="F20" s="1" t="s">
        <v>355</v>
      </c>
      <c r="G20" s="1" t="s">
        <v>860</v>
      </c>
      <c r="H20" s="1" t="s">
        <v>1049</v>
      </c>
      <c r="I20" s="1" t="s">
        <v>271</v>
      </c>
      <c r="J20" s="1" t="s">
        <v>130</v>
      </c>
      <c r="K20" s="5">
        <v>4500</v>
      </c>
      <c r="L20" s="6">
        <v>43983</v>
      </c>
      <c r="M20" s="6">
        <v>44196</v>
      </c>
      <c r="N20" s="1" t="s">
        <v>1127</v>
      </c>
      <c r="O20" s="1" t="s">
        <v>1161</v>
      </c>
    </row>
    <row r="21" spans="1:15" x14ac:dyDescent="0.25">
      <c r="A21" s="4">
        <v>17</v>
      </c>
      <c r="B21" s="2" t="str">
        <f>HYPERLINK("https://my.zakupki.prom.ua/remote/dispatcher/state_purchase_view/16990671", "UA-2020-06-02-005338-b")</f>
        <v>UA-2020-06-02-005338-b</v>
      </c>
      <c r="C21" s="2" t="str">
        <f>HYPERLINK("https://my.zakupki.prom.ua/remote/dispatcher/state_contracting_view/4418295", "UA-2020-06-02-005338-b-b1")</f>
        <v>UA-2020-06-02-005338-b-b1</v>
      </c>
      <c r="D21" s="1" t="s">
        <v>966</v>
      </c>
      <c r="E21" s="1" t="s">
        <v>966</v>
      </c>
      <c r="F21" s="1" t="s">
        <v>678</v>
      </c>
      <c r="G21" s="1" t="s">
        <v>860</v>
      </c>
      <c r="H21" s="1" t="s">
        <v>1083</v>
      </c>
      <c r="I21" s="1" t="s">
        <v>461</v>
      </c>
      <c r="J21" s="1" t="s">
        <v>124</v>
      </c>
      <c r="K21" s="5">
        <v>30000</v>
      </c>
      <c r="L21" s="6">
        <v>43983</v>
      </c>
      <c r="M21" s="6">
        <v>44196</v>
      </c>
      <c r="N21" s="1" t="s">
        <v>1127</v>
      </c>
      <c r="O21" s="1" t="s">
        <v>1161</v>
      </c>
    </row>
    <row r="22" spans="1:15" x14ac:dyDescent="0.25">
      <c r="A22" s="4">
        <v>18</v>
      </c>
      <c r="B22" s="2" t="str">
        <f>HYPERLINK("https://my.zakupki.prom.ua/remote/dispatcher/state_purchase_view/16950590", "UA-2020-06-01-000851-b")</f>
        <v>UA-2020-06-01-000851-b</v>
      </c>
      <c r="C22" s="2" t="str">
        <f>HYPERLINK("https://my.zakupki.prom.ua/remote/dispatcher/state_contracting_view/4400523", "UA-2020-06-01-000851-b-b1")</f>
        <v>UA-2020-06-01-000851-b-b1</v>
      </c>
      <c r="D22" s="1" t="s">
        <v>807</v>
      </c>
      <c r="E22" s="1" t="s">
        <v>806</v>
      </c>
      <c r="F22" s="1" t="s">
        <v>151</v>
      </c>
      <c r="G22" s="1" t="s">
        <v>860</v>
      </c>
      <c r="H22" s="1" t="s">
        <v>1065</v>
      </c>
      <c r="I22" s="1" t="s">
        <v>172</v>
      </c>
      <c r="J22" s="1" t="s">
        <v>123</v>
      </c>
      <c r="K22" s="5">
        <v>598.79999999999995</v>
      </c>
      <c r="L22" s="6">
        <v>43979</v>
      </c>
      <c r="M22" s="6">
        <v>44196</v>
      </c>
      <c r="N22" s="1" t="s">
        <v>1127</v>
      </c>
      <c r="O22" s="1" t="s">
        <v>1161</v>
      </c>
    </row>
    <row r="23" spans="1:15" x14ac:dyDescent="0.25">
      <c r="A23" s="4">
        <v>19</v>
      </c>
      <c r="B23" s="2" t="str">
        <f>HYPERLINK("https://my.zakupki.prom.ua/remote/dispatcher/state_purchase_view/21727266", "UA-2020-12-03-012112-b")</f>
        <v>UA-2020-12-03-012112-b</v>
      </c>
      <c r="C23" s="2" t="str">
        <f>HYPERLINK("https://my.zakupki.prom.ua/remote/dispatcher/state_contracting_view/6646590", "UA-2020-12-03-012112-b-b1")</f>
        <v>UA-2020-12-03-012112-b-b1</v>
      </c>
      <c r="D23" s="1" t="s">
        <v>353</v>
      </c>
      <c r="E23" s="1" t="s">
        <v>911</v>
      </c>
      <c r="F23" s="1" t="s">
        <v>352</v>
      </c>
      <c r="G23" s="1" t="s">
        <v>860</v>
      </c>
      <c r="H23" s="1" t="s">
        <v>1071</v>
      </c>
      <c r="I23" s="1" t="s">
        <v>432</v>
      </c>
      <c r="J23" s="1" t="s">
        <v>507</v>
      </c>
      <c r="K23" s="5">
        <v>1198</v>
      </c>
      <c r="L23" s="6">
        <v>44168</v>
      </c>
      <c r="M23" s="6">
        <v>44196</v>
      </c>
      <c r="N23" s="1" t="s">
        <v>1127</v>
      </c>
      <c r="O23" s="1" t="s">
        <v>1161</v>
      </c>
    </row>
    <row r="24" spans="1:15" x14ac:dyDescent="0.25">
      <c r="A24" s="4">
        <v>20</v>
      </c>
      <c r="B24" s="2" t="str">
        <f>HYPERLINK("https://my.zakupki.prom.ua/remote/dispatcher/state_purchase_view/17950719", "UA-2020-07-17-002828-b")</f>
        <v>UA-2020-07-17-002828-b</v>
      </c>
      <c r="C24" s="2" t="str">
        <f>HYPERLINK("https://my.zakupki.prom.ua/remote/dispatcher/state_contracting_view/4862344", "UA-2020-07-17-002828-b-b1")</f>
        <v>UA-2020-07-17-002828-b-b1</v>
      </c>
      <c r="D24" s="1" t="s">
        <v>665</v>
      </c>
      <c r="E24" s="1" t="s">
        <v>968</v>
      </c>
      <c r="F24" s="1" t="s">
        <v>665</v>
      </c>
      <c r="G24" s="1" t="s">
        <v>860</v>
      </c>
      <c r="H24" s="1" t="s">
        <v>756</v>
      </c>
      <c r="I24" s="1" t="s">
        <v>406</v>
      </c>
      <c r="J24" s="1" t="s">
        <v>203</v>
      </c>
      <c r="K24" s="5">
        <v>4376.82</v>
      </c>
      <c r="L24" s="6">
        <v>44027</v>
      </c>
      <c r="M24" s="6">
        <v>44196</v>
      </c>
      <c r="N24" s="1" t="s">
        <v>1127</v>
      </c>
      <c r="O24" s="1" t="s">
        <v>1161</v>
      </c>
    </row>
    <row r="25" spans="1:15" x14ac:dyDescent="0.25">
      <c r="A25" s="4">
        <v>21</v>
      </c>
      <c r="B25" s="2" t="str">
        <f>HYPERLINK("https://my.zakupki.prom.ua/remote/dispatcher/state_purchase_view/17638190", "UA-2020-07-03-003362-a")</f>
        <v>UA-2020-07-03-003362-a</v>
      </c>
      <c r="C25" s="2" t="str">
        <f>HYPERLINK("https://my.zakupki.prom.ua/remote/dispatcher/state_contracting_view/4717403", "UA-2020-07-03-003362-a-a1")</f>
        <v>UA-2020-07-03-003362-a-a1</v>
      </c>
      <c r="D25" s="1" t="s">
        <v>892</v>
      </c>
      <c r="E25" s="1" t="s">
        <v>997</v>
      </c>
      <c r="F25" s="1" t="s">
        <v>712</v>
      </c>
      <c r="G25" s="1" t="s">
        <v>860</v>
      </c>
      <c r="H25" s="1" t="s">
        <v>813</v>
      </c>
      <c r="I25" s="1" t="s">
        <v>468</v>
      </c>
      <c r="J25" s="1" t="s">
        <v>727</v>
      </c>
      <c r="K25" s="5">
        <v>2739.7</v>
      </c>
      <c r="L25" s="6">
        <v>44013</v>
      </c>
      <c r="M25" s="6">
        <v>44196</v>
      </c>
      <c r="N25" s="1" t="s">
        <v>1127</v>
      </c>
      <c r="O25" s="1" t="s">
        <v>1161</v>
      </c>
    </row>
    <row r="26" spans="1:15" x14ac:dyDescent="0.25">
      <c r="A26" s="4">
        <v>22</v>
      </c>
      <c r="B26" s="2" t="str">
        <f>HYPERLINK("https://my.zakupki.prom.ua/remote/dispatcher/state_purchase_view/17407021", "UA-2020-06-22-004917-c")</f>
        <v>UA-2020-06-22-004917-c</v>
      </c>
      <c r="C26" s="2" t="str">
        <f>HYPERLINK("https://my.zakupki.prom.ua/remote/dispatcher/state_contracting_view/4609719", "UA-2020-06-22-004917-c-c1")</f>
        <v>UA-2020-06-22-004917-c-c1</v>
      </c>
      <c r="D26" s="1" t="s">
        <v>761</v>
      </c>
      <c r="E26" s="1" t="s">
        <v>759</v>
      </c>
      <c r="F26" s="1" t="s">
        <v>659</v>
      </c>
      <c r="G26" s="1" t="s">
        <v>860</v>
      </c>
      <c r="H26" s="1" t="s">
        <v>1088</v>
      </c>
      <c r="I26" s="1" t="s">
        <v>45</v>
      </c>
      <c r="J26" s="1" t="s">
        <v>158</v>
      </c>
      <c r="K26" s="5">
        <v>49200</v>
      </c>
      <c r="L26" s="6">
        <v>44001</v>
      </c>
      <c r="M26" s="6">
        <v>44196</v>
      </c>
      <c r="N26" s="1" t="s">
        <v>1127</v>
      </c>
      <c r="O26" s="1" t="s">
        <v>1161</v>
      </c>
    </row>
    <row r="27" spans="1:15" x14ac:dyDescent="0.25">
      <c r="A27" s="4">
        <v>23</v>
      </c>
      <c r="B27" s="2" t="str">
        <f>HYPERLINK("https://my.zakupki.prom.ua/remote/dispatcher/state_purchase_view/19913855", "UA-2020-10-07-008814-a")</f>
        <v>UA-2020-10-07-008814-a</v>
      </c>
      <c r="C27" s="2" t="str">
        <f>HYPERLINK("https://my.zakupki.prom.ua/remote/dispatcher/state_contracting_view/5787690", "UA-2020-10-07-008814-a-a1")</f>
        <v>UA-2020-10-07-008814-a-a1</v>
      </c>
      <c r="D27" s="1" t="s">
        <v>816</v>
      </c>
      <c r="E27" s="1" t="s">
        <v>962</v>
      </c>
      <c r="F27" s="1" t="s">
        <v>681</v>
      </c>
      <c r="G27" s="1" t="s">
        <v>860</v>
      </c>
      <c r="H27" s="1" t="s">
        <v>1054</v>
      </c>
      <c r="I27" s="1" t="s">
        <v>112</v>
      </c>
      <c r="J27" s="1" t="s">
        <v>347</v>
      </c>
      <c r="K27" s="5">
        <v>10000</v>
      </c>
      <c r="L27" s="6">
        <v>44111</v>
      </c>
      <c r="M27" s="6">
        <v>44196</v>
      </c>
      <c r="N27" s="1" t="s">
        <v>1127</v>
      </c>
      <c r="O27" s="1" t="s">
        <v>1161</v>
      </c>
    </row>
    <row r="28" spans="1:15" x14ac:dyDescent="0.25">
      <c r="A28" s="4">
        <v>24</v>
      </c>
      <c r="B28" s="2" t="str">
        <f>HYPERLINK("https://my.zakupki.prom.ua/remote/dispatcher/state_purchase_view/22209572", "UA-2020-12-15-015907-c")</f>
        <v>UA-2020-12-15-015907-c</v>
      </c>
      <c r="C28" s="2" t="str">
        <f>HYPERLINK("https://my.zakupki.prom.ua/remote/dispatcher/state_contracting_view/7174886", "UA-2020-12-15-015907-c-c1")</f>
        <v>UA-2020-12-15-015907-c-c1</v>
      </c>
      <c r="D28" s="1" t="s">
        <v>601</v>
      </c>
      <c r="E28" s="1" t="s">
        <v>1139</v>
      </c>
      <c r="F28" s="1" t="s">
        <v>599</v>
      </c>
      <c r="G28" s="1" t="s">
        <v>941</v>
      </c>
      <c r="H28" s="1" t="s">
        <v>1064</v>
      </c>
      <c r="I28" s="1" t="s">
        <v>195</v>
      </c>
      <c r="J28" s="1" t="s">
        <v>567</v>
      </c>
      <c r="K28" s="5">
        <v>102642</v>
      </c>
      <c r="L28" s="6">
        <v>44193</v>
      </c>
      <c r="M28" s="6">
        <v>44196</v>
      </c>
      <c r="N28" s="1" t="s">
        <v>1136</v>
      </c>
      <c r="O28" s="1" t="s">
        <v>1161</v>
      </c>
    </row>
    <row r="29" spans="1:15" x14ac:dyDescent="0.25">
      <c r="A29" s="4">
        <v>25</v>
      </c>
      <c r="B29" s="2" t="str">
        <f>HYPERLINK("https://my.zakupki.prom.ua/remote/dispatcher/state_purchase_view/21226620", "UA-2020-11-19-004054-c")</f>
        <v>UA-2020-11-19-004054-c</v>
      </c>
      <c r="C29" s="2" t="str">
        <f>HYPERLINK("https://my.zakupki.prom.ua/remote/dispatcher/state_contracting_view/6710613", "UA-2020-11-19-004054-c-b1")</f>
        <v>UA-2020-11-19-004054-c-b1</v>
      </c>
      <c r="D29" s="1" t="s">
        <v>389</v>
      </c>
      <c r="E29" s="1" t="s">
        <v>1130</v>
      </c>
      <c r="F29" s="1" t="s">
        <v>388</v>
      </c>
      <c r="G29" s="1" t="s">
        <v>843</v>
      </c>
      <c r="H29" s="1" t="s">
        <v>1110</v>
      </c>
      <c r="I29" s="1" t="s">
        <v>162</v>
      </c>
      <c r="J29" s="1" t="s">
        <v>510</v>
      </c>
      <c r="K29" s="5">
        <v>588000</v>
      </c>
      <c r="L29" s="6">
        <v>44173</v>
      </c>
      <c r="M29" s="6">
        <v>44196</v>
      </c>
      <c r="N29" s="1" t="s">
        <v>1136</v>
      </c>
      <c r="O29" s="1" t="s">
        <v>1161</v>
      </c>
    </row>
    <row r="30" spans="1:15" x14ac:dyDescent="0.25">
      <c r="A30" s="4">
        <v>26</v>
      </c>
      <c r="B30" s="2" t="str">
        <f>HYPERLINK("https://my.zakupki.prom.ua/remote/dispatcher/state_purchase_view/14354119", "UA-2019-12-29-000107-c")</f>
        <v>UA-2019-12-29-000107-c</v>
      </c>
      <c r="C30" s="2" t="str">
        <f>HYPERLINK("https://my.zakupki.prom.ua/remote/dispatcher/state_contracting_view/3608415", "UA-2019-12-29-000107-c-c1")</f>
        <v>UA-2019-12-29-000107-c-c1</v>
      </c>
      <c r="D30" s="1" t="s">
        <v>784</v>
      </c>
      <c r="E30" s="1" t="s">
        <v>165</v>
      </c>
      <c r="F30" s="1" t="s">
        <v>164</v>
      </c>
      <c r="G30" s="1" t="s">
        <v>860</v>
      </c>
      <c r="H30" s="1" t="s">
        <v>912</v>
      </c>
      <c r="I30" s="1" t="s">
        <v>192</v>
      </c>
      <c r="J30" s="1" t="s">
        <v>661</v>
      </c>
      <c r="K30" s="5">
        <v>50000</v>
      </c>
      <c r="L30" s="6">
        <v>43828</v>
      </c>
      <c r="M30" s="6">
        <v>44196</v>
      </c>
      <c r="N30" s="1" t="s">
        <v>1127</v>
      </c>
      <c r="O30" s="1" t="s">
        <v>1161</v>
      </c>
    </row>
    <row r="31" spans="1:15" x14ac:dyDescent="0.25">
      <c r="A31" s="4">
        <v>27</v>
      </c>
      <c r="B31" s="2" t="str">
        <f>HYPERLINK("https://my.zakupki.prom.ua/remote/dispatcher/state_purchase_view/14354170", "UA-2019-12-29-000120-c")</f>
        <v>UA-2019-12-29-000120-c</v>
      </c>
      <c r="C31" s="2" t="str">
        <f>HYPERLINK("https://my.zakupki.prom.ua/remote/dispatcher/state_contracting_view/3608428", "UA-2019-12-29-000120-c-c1")</f>
        <v>UA-2019-12-29-000120-c-c1</v>
      </c>
      <c r="D31" s="1" t="s">
        <v>310</v>
      </c>
      <c r="E31" s="1" t="s">
        <v>311</v>
      </c>
      <c r="F31" s="1" t="s">
        <v>309</v>
      </c>
      <c r="G31" s="1" t="s">
        <v>860</v>
      </c>
      <c r="H31" s="1" t="s">
        <v>1064</v>
      </c>
      <c r="I31" s="1" t="s">
        <v>195</v>
      </c>
      <c r="J31" s="1" t="s">
        <v>722</v>
      </c>
      <c r="K31" s="5">
        <v>70000</v>
      </c>
      <c r="L31" s="6">
        <v>43828</v>
      </c>
      <c r="M31" s="6">
        <v>44196</v>
      </c>
      <c r="N31" s="1" t="s">
        <v>1127</v>
      </c>
      <c r="O31" s="1" t="s">
        <v>1161</v>
      </c>
    </row>
    <row r="32" spans="1:15" x14ac:dyDescent="0.25">
      <c r="A32" s="4">
        <v>28</v>
      </c>
      <c r="B32" s="2" t="str">
        <f>HYPERLINK("https://my.zakupki.prom.ua/remote/dispatcher/state_purchase_view/14636288", "UA-2020-01-20-004548-c")</f>
        <v>UA-2020-01-20-004548-c</v>
      </c>
      <c r="C32" s="2" t="str">
        <f>HYPERLINK("https://my.zakupki.prom.ua/remote/dispatcher/state_contracting_view/3652265", "UA-2020-01-20-004548-c-c1")</f>
        <v>UA-2020-01-20-004548-c-c1</v>
      </c>
      <c r="D32" s="1" t="s">
        <v>536</v>
      </c>
      <c r="E32" s="1" t="s">
        <v>537</v>
      </c>
      <c r="F32" s="1" t="s">
        <v>535</v>
      </c>
      <c r="G32" s="1" t="s">
        <v>860</v>
      </c>
      <c r="H32" s="1" t="s">
        <v>1067</v>
      </c>
      <c r="I32" s="1" t="s">
        <v>548</v>
      </c>
      <c r="J32" s="1" t="s">
        <v>656</v>
      </c>
      <c r="K32" s="5">
        <v>120000</v>
      </c>
      <c r="L32" s="6">
        <v>43850</v>
      </c>
      <c r="M32" s="6">
        <v>44196</v>
      </c>
      <c r="N32" s="1" t="s">
        <v>1127</v>
      </c>
      <c r="O32" s="1" t="s">
        <v>1161</v>
      </c>
    </row>
    <row r="33" spans="1:15" x14ac:dyDescent="0.25">
      <c r="A33" s="4">
        <v>29</v>
      </c>
      <c r="B33" s="2" t="str">
        <f>HYPERLINK("https://my.zakupki.prom.ua/remote/dispatcher/state_purchase_view/15303107", "UA-2020-02-14-002533-c")</f>
        <v>UA-2020-02-14-002533-c</v>
      </c>
      <c r="C33" s="2" t="str">
        <f>HYPERLINK("https://my.zakupki.prom.ua/remote/dispatcher/state_contracting_view/3804887", "UA-2020-02-14-002533-c-c1")</f>
        <v>UA-2020-02-14-002533-c-c1</v>
      </c>
      <c r="D33" s="1" t="s">
        <v>829</v>
      </c>
      <c r="E33" s="1" t="s">
        <v>829</v>
      </c>
      <c r="F33" s="1" t="s">
        <v>674</v>
      </c>
      <c r="G33" s="1" t="s">
        <v>860</v>
      </c>
      <c r="H33" s="1" t="s">
        <v>1085</v>
      </c>
      <c r="I33" s="1" t="s">
        <v>41</v>
      </c>
      <c r="J33" s="1" t="s">
        <v>429</v>
      </c>
      <c r="K33" s="5">
        <v>50000</v>
      </c>
      <c r="L33" s="6">
        <v>43875</v>
      </c>
      <c r="M33" s="6">
        <v>44196</v>
      </c>
      <c r="N33" s="1" t="s">
        <v>1127</v>
      </c>
      <c r="O33" s="1" t="s">
        <v>1161</v>
      </c>
    </row>
    <row r="34" spans="1:15" x14ac:dyDescent="0.25">
      <c r="A34" s="4">
        <v>30</v>
      </c>
      <c r="B34" s="2" t="str">
        <f>HYPERLINK("https://my.zakupki.prom.ua/remote/dispatcher/state_purchase_view/15096304", "UA-2020-02-05-001361-b")</f>
        <v>UA-2020-02-05-001361-b</v>
      </c>
      <c r="C34" s="2" t="str">
        <f>HYPERLINK("https://my.zakupki.prom.ua/remote/dispatcher/state_contracting_view/3752206", "UA-2020-02-05-001361-b-b1")</f>
        <v>UA-2020-02-05-001361-b-b1</v>
      </c>
      <c r="D34" s="1" t="s">
        <v>286</v>
      </c>
      <c r="E34" s="1" t="s">
        <v>285</v>
      </c>
      <c r="F34" s="1" t="s">
        <v>280</v>
      </c>
      <c r="G34" s="1" t="s">
        <v>860</v>
      </c>
      <c r="H34" s="1" t="s">
        <v>837</v>
      </c>
      <c r="I34" s="1" t="s">
        <v>150</v>
      </c>
      <c r="J34" s="1" t="s">
        <v>736</v>
      </c>
      <c r="K34" s="5">
        <v>200000</v>
      </c>
      <c r="L34" s="6">
        <v>43865</v>
      </c>
      <c r="M34" s="6">
        <v>44196</v>
      </c>
      <c r="N34" s="1" t="s">
        <v>1127</v>
      </c>
      <c r="O34" s="1" t="s">
        <v>1161</v>
      </c>
    </row>
    <row r="35" spans="1:15" x14ac:dyDescent="0.25">
      <c r="A35" s="4">
        <v>31</v>
      </c>
      <c r="B35" s="2" t="str">
        <f>HYPERLINK("https://my.zakupki.prom.ua/remote/dispatcher/state_purchase_view/15040156", "UA-2020-02-03-002105-a")</f>
        <v>UA-2020-02-03-002105-a</v>
      </c>
      <c r="C35" s="2" t="str">
        <f>HYPERLINK("https://my.zakupki.prom.ua/remote/dispatcher/state_contracting_view/3737729", "UA-2020-02-03-002105-a-a1")</f>
        <v>UA-2020-02-03-002105-a-a1</v>
      </c>
      <c r="D35" s="1" t="s">
        <v>121</v>
      </c>
      <c r="E35" s="1" t="s">
        <v>122</v>
      </c>
      <c r="F35" s="1" t="s">
        <v>117</v>
      </c>
      <c r="G35" s="1" t="s">
        <v>860</v>
      </c>
      <c r="H35" s="1" t="s">
        <v>779</v>
      </c>
      <c r="I35" s="1" t="s">
        <v>215</v>
      </c>
      <c r="J35" s="1" t="s">
        <v>726</v>
      </c>
      <c r="K35" s="5">
        <v>200000</v>
      </c>
      <c r="L35" s="6">
        <v>43864</v>
      </c>
      <c r="M35" s="6">
        <v>44196</v>
      </c>
      <c r="N35" s="1" t="s">
        <v>1127</v>
      </c>
      <c r="O35" s="1" t="s">
        <v>1161</v>
      </c>
    </row>
    <row r="36" spans="1:15" x14ac:dyDescent="0.25">
      <c r="A36" s="4">
        <v>32</v>
      </c>
      <c r="B36" s="2" t="str">
        <f>HYPERLINK("https://my.zakupki.prom.ua/remote/dispatcher/state_purchase_view/16130891", "UA-2020-04-06-002657-b")</f>
        <v>UA-2020-04-06-002657-b</v>
      </c>
      <c r="C36" s="2" t="str">
        <f>HYPERLINK("https://my.zakupki.prom.ua/remote/dispatcher/state_contracting_view/4061003", "UA-2020-04-06-002657-b-b1")</f>
        <v>UA-2020-04-06-002657-b-b1</v>
      </c>
      <c r="D36" s="1" t="s">
        <v>499</v>
      </c>
      <c r="E36" s="1" t="s">
        <v>499</v>
      </c>
      <c r="F36" s="1" t="s">
        <v>498</v>
      </c>
      <c r="G36" s="1" t="s">
        <v>860</v>
      </c>
      <c r="H36" s="1" t="s">
        <v>931</v>
      </c>
      <c r="I36" s="1" t="s">
        <v>431</v>
      </c>
      <c r="J36" s="1" t="s">
        <v>72</v>
      </c>
      <c r="K36" s="5">
        <v>100000</v>
      </c>
      <c r="L36" s="6">
        <v>43927</v>
      </c>
      <c r="M36" s="6">
        <v>44196</v>
      </c>
      <c r="N36" s="1" t="s">
        <v>1127</v>
      </c>
      <c r="O36" s="1" t="s">
        <v>1161</v>
      </c>
    </row>
    <row r="37" spans="1:15" x14ac:dyDescent="0.25">
      <c r="A37" s="4">
        <v>33</v>
      </c>
      <c r="B37" s="2" t="str">
        <f>HYPERLINK("https://my.zakupki.prom.ua/remote/dispatcher/state_purchase_view/15646063", "UA-2020-03-06-000008-a")</f>
        <v>UA-2020-03-06-000008-a</v>
      </c>
      <c r="C37" s="2" t="str">
        <f>HYPERLINK("https://my.zakupki.prom.ua/remote/dispatcher/state_contracting_view/3902975", "UA-2020-03-06-000008-a-a1")</f>
        <v>UA-2020-03-06-000008-a-a1</v>
      </c>
      <c r="D37" s="1" t="s">
        <v>334</v>
      </c>
      <c r="E37" s="1" t="s">
        <v>333</v>
      </c>
      <c r="F37" s="1" t="s">
        <v>332</v>
      </c>
      <c r="G37" s="1" t="s">
        <v>860</v>
      </c>
      <c r="H37" s="1" t="s">
        <v>1045</v>
      </c>
      <c r="I37" s="1" t="s">
        <v>525</v>
      </c>
      <c r="J37" s="1" t="s">
        <v>34</v>
      </c>
      <c r="K37" s="5">
        <v>200000</v>
      </c>
      <c r="L37" s="6">
        <v>43895</v>
      </c>
      <c r="M37" s="6">
        <v>44196</v>
      </c>
      <c r="N37" s="1" t="s">
        <v>1127</v>
      </c>
      <c r="O37" s="1" t="s">
        <v>1161</v>
      </c>
    </row>
    <row r="38" spans="1:15" x14ac:dyDescent="0.25">
      <c r="A38" s="4">
        <v>34</v>
      </c>
      <c r="B38" s="2" t="str">
        <f>HYPERLINK("https://my.zakupki.prom.ua/remote/dispatcher/state_purchase_view/16986388", "UA-2020-06-02-003820-b")</f>
        <v>UA-2020-06-02-003820-b</v>
      </c>
      <c r="C38" s="2" t="str">
        <f>HYPERLINK("https://my.zakupki.prom.ua/remote/dispatcher/state_contracting_view/4415951", "UA-2020-06-02-003820-b-b1")</f>
        <v>UA-2020-06-02-003820-b-b1</v>
      </c>
      <c r="D38" s="1" t="s">
        <v>772</v>
      </c>
      <c r="E38" s="1" t="s">
        <v>877</v>
      </c>
      <c r="F38" s="1" t="s">
        <v>348</v>
      </c>
      <c r="G38" s="1" t="s">
        <v>860</v>
      </c>
      <c r="H38" s="1" t="s">
        <v>1049</v>
      </c>
      <c r="I38" s="1" t="s">
        <v>271</v>
      </c>
      <c r="J38" s="1" t="s">
        <v>128</v>
      </c>
      <c r="K38" s="5">
        <v>6858</v>
      </c>
      <c r="L38" s="6">
        <v>43983</v>
      </c>
      <c r="M38" s="6">
        <v>44196</v>
      </c>
      <c r="N38" s="1" t="s">
        <v>1127</v>
      </c>
      <c r="O38" s="1" t="s">
        <v>1161</v>
      </c>
    </row>
    <row r="39" spans="1:15" x14ac:dyDescent="0.25">
      <c r="A39" s="4">
        <v>35</v>
      </c>
      <c r="B39" s="2" t="str">
        <f>HYPERLINK("https://my.zakupki.prom.ua/remote/dispatcher/state_purchase_view/17910744", "UA-2020-07-16-000537-c")</f>
        <v>UA-2020-07-16-000537-c</v>
      </c>
      <c r="C39" s="2" t="str">
        <f>HYPERLINK("https://my.zakupki.prom.ua/remote/dispatcher/state_contracting_view/4855082", "UA-2020-07-16-000537-c-c1")</f>
        <v>UA-2020-07-16-000537-c-c1</v>
      </c>
      <c r="D39" s="1" t="s">
        <v>961</v>
      </c>
      <c r="E39" s="1" t="s">
        <v>913</v>
      </c>
      <c r="F39" s="1" t="s">
        <v>724</v>
      </c>
      <c r="G39" s="1" t="s">
        <v>860</v>
      </c>
      <c r="H39" s="1" t="s">
        <v>1047</v>
      </c>
      <c r="I39" s="1" t="s">
        <v>509</v>
      </c>
      <c r="J39" s="1" t="s">
        <v>197</v>
      </c>
      <c r="K39" s="5">
        <v>3600</v>
      </c>
      <c r="L39" s="6">
        <v>44025</v>
      </c>
      <c r="M39" s="6">
        <v>44196</v>
      </c>
      <c r="N39" s="1" t="s">
        <v>1127</v>
      </c>
      <c r="O39" s="1" t="s">
        <v>1161</v>
      </c>
    </row>
    <row r="40" spans="1:15" x14ac:dyDescent="0.25">
      <c r="A40" s="4">
        <v>36</v>
      </c>
      <c r="B40" s="2" t="str">
        <f>HYPERLINK("https://my.zakupki.prom.ua/remote/dispatcher/state_purchase_view/18642420", "UA-2020-08-19-000230-a")</f>
        <v>UA-2020-08-19-000230-a</v>
      </c>
      <c r="C40" s="2" t="str">
        <f>HYPERLINK("https://my.zakupki.prom.ua/remote/dispatcher/state_contracting_view/5185900", "UA-2020-08-19-000230-a-a1")</f>
        <v>UA-2020-08-19-000230-a-a1</v>
      </c>
      <c r="D40" s="1" t="s">
        <v>999</v>
      </c>
      <c r="E40" s="1" t="s">
        <v>881</v>
      </c>
      <c r="F40" s="1" t="s">
        <v>309</v>
      </c>
      <c r="G40" s="1" t="s">
        <v>860</v>
      </c>
      <c r="H40" s="1" t="s">
        <v>1086</v>
      </c>
      <c r="I40" s="1" t="s">
        <v>106</v>
      </c>
      <c r="J40" s="1" t="s">
        <v>230</v>
      </c>
      <c r="K40" s="5">
        <v>16002.12</v>
      </c>
      <c r="L40" s="6">
        <v>44057</v>
      </c>
      <c r="M40" s="6">
        <v>44196</v>
      </c>
      <c r="N40" s="1" t="s">
        <v>1127</v>
      </c>
      <c r="O40" s="1" t="s">
        <v>1161</v>
      </c>
    </row>
    <row r="41" spans="1:15" x14ac:dyDescent="0.25">
      <c r="A41" s="4">
        <v>37</v>
      </c>
      <c r="B41" s="2" t="str">
        <f>HYPERLINK("https://my.zakupki.prom.ua/remote/dispatcher/state_purchase_view/21050309", "UA-2020-11-13-005337-c")</f>
        <v>UA-2020-11-13-005337-c</v>
      </c>
      <c r="C41" s="2" t="str">
        <f>HYPERLINK("https://my.zakupki.prom.ua/remote/dispatcher/state_contracting_view/6345989", "UA-2020-11-13-005337-c-c1")</f>
        <v>UA-2020-11-13-005337-c-c1</v>
      </c>
      <c r="D41" s="1" t="s">
        <v>636</v>
      </c>
      <c r="E41" s="1" t="s">
        <v>1131</v>
      </c>
      <c r="F41" s="1" t="s">
        <v>635</v>
      </c>
      <c r="G41" s="1" t="s">
        <v>860</v>
      </c>
      <c r="H41" s="1" t="s">
        <v>1040</v>
      </c>
      <c r="I41" s="1" t="s">
        <v>474</v>
      </c>
      <c r="J41" s="1" t="s">
        <v>445</v>
      </c>
      <c r="K41" s="5">
        <v>48490</v>
      </c>
      <c r="L41" s="6">
        <v>44148</v>
      </c>
      <c r="M41" s="6">
        <v>44196</v>
      </c>
      <c r="N41" s="1" t="s">
        <v>1127</v>
      </c>
      <c r="O41" s="1" t="s">
        <v>1161</v>
      </c>
    </row>
    <row r="42" spans="1:15" x14ac:dyDescent="0.25">
      <c r="A42" s="4">
        <v>38</v>
      </c>
      <c r="B42" s="2" t="str">
        <f>HYPERLINK("https://my.zakupki.prom.ua/remote/dispatcher/state_purchase_view/15744146", "UA-2020-03-13-000576-b")</f>
        <v>UA-2020-03-13-000576-b</v>
      </c>
      <c r="C42" s="2" t="str">
        <f>HYPERLINK("https://my.zakupki.prom.ua/remote/dispatcher/state_contracting_view/4081759", "UA-2020-03-13-000576-b-b1")</f>
        <v>UA-2020-03-13-000576-b-b1</v>
      </c>
      <c r="D42" s="1" t="s">
        <v>833</v>
      </c>
      <c r="E42" s="1" t="s">
        <v>833</v>
      </c>
      <c r="F42" s="1" t="s">
        <v>594</v>
      </c>
      <c r="G42" s="1" t="s">
        <v>843</v>
      </c>
      <c r="H42" s="1" t="s">
        <v>1025</v>
      </c>
      <c r="I42" s="1" t="s">
        <v>522</v>
      </c>
      <c r="J42" s="1" t="s">
        <v>77</v>
      </c>
      <c r="K42" s="5">
        <v>279270</v>
      </c>
      <c r="L42" s="6">
        <v>43930</v>
      </c>
      <c r="M42" s="6">
        <v>44196</v>
      </c>
      <c r="N42" s="1" t="s">
        <v>1136</v>
      </c>
      <c r="O42" s="1" t="s">
        <v>1161</v>
      </c>
    </row>
    <row r="43" spans="1:15" x14ac:dyDescent="0.25">
      <c r="A43" s="4">
        <v>39</v>
      </c>
      <c r="B43" s="2" t="str">
        <f>HYPERLINK("https://my.zakupki.prom.ua/remote/dispatcher/state_purchase_view/19652544", "UA-2020-09-28-005270-a")</f>
        <v>UA-2020-09-28-005270-a</v>
      </c>
      <c r="C43" s="2" t="str">
        <f>HYPERLINK("https://my.zakupki.prom.ua/remote/dispatcher/state_contracting_view/6130526", "UA-2020-09-28-005270-a-a2")</f>
        <v>UA-2020-09-28-005270-a-a2</v>
      </c>
      <c r="D43" s="1" t="s">
        <v>638</v>
      </c>
      <c r="E43" s="1" t="s">
        <v>781</v>
      </c>
      <c r="F43" s="1" t="s">
        <v>637</v>
      </c>
      <c r="G43" s="1" t="s">
        <v>843</v>
      </c>
      <c r="H43" s="1" t="s">
        <v>1105</v>
      </c>
      <c r="I43" s="1" t="s">
        <v>220</v>
      </c>
      <c r="J43" s="1" t="s">
        <v>429</v>
      </c>
      <c r="K43" s="5">
        <v>128000</v>
      </c>
      <c r="L43" s="6">
        <v>44132</v>
      </c>
      <c r="M43" s="6">
        <v>44196</v>
      </c>
      <c r="N43" s="1" t="s">
        <v>1136</v>
      </c>
      <c r="O43" s="1" t="s">
        <v>1161</v>
      </c>
    </row>
    <row r="44" spans="1:15" x14ac:dyDescent="0.25">
      <c r="A44" s="4">
        <v>40</v>
      </c>
      <c r="B44" s="2" t="str">
        <f>HYPERLINK("https://my.zakupki.prom.ua/remote/dispatcher/state_purchase_view/20467327", "UA-2020-10-26-005145-a")</f>
        <v>UA-2020-10-26-005145-a</v>
      </c>
      <c r="C44" s="2" t="str">
        <f>HYPERLINK("https://my.zakupki.prom.ua/remote/dispatcher/state_contracting_view/6390200", "UA-2020-10-26-005145-a-a1")</f>
        <v>UA-2020-10-26-005145-a-a1</v>
      </c>
      <c r="D44" s="1" t="s">
        <v>19</v>
      </c>
      <c r="E44" s="1" t="s">
        <v>850</v>
      </c>
      <c r="F44" s="1" t="s">
        <v>20</v>
      </c>
      <c r="G44" s="1" t="s">
        <v>941</v>
      </c>
      <c r="H44" s="1" t="s">
        <v>1058</v>
      </c>
      <c r="I44" s="1" t="s">
        <v>538</v>
      </c>
      <c r="J44" s="1" t="s">
        <v>451</v>
      </c>
      <c r="K44" s="5">
        <v>255000</v>
      </c>
      <c r="L44" s="6">
        <v>44151</v>
      </c>
      <c r="M44" s="6">
        <v>44196</v>
      </c>
      <c r="N44" s="1" t="s">
        <v>1136</v>
      </c>
      <c r="O44" s="1" t="s">
        <v>1161</v>
      </c>
    </row>
    <row r="45" spans="1:15" x14ac:dyDescent="0.25">
      <c r="A45" s="4">
        <v>41</v>
      </c>
      <c r="B45" s="2" t="str">
        <f>HYPERLINK("https://my.zakupki.prom.ua/remote/dispatcher/state_purchase_view/21002282", "UA-2020-11-12-003340-c")</f>
        <v>UA-2020-11-12-003340-c</v>
      </c>
      <c r="C45" s="2" t="str">
        <f>HYPERLINK("https://my.zakupki.prom.ua/remote/dispatcher/state_contracting_view/6826576", "UA-2020-11-12-003340-c-b1")</f>
        <v>UA-2020-11-12-003340-c-b1</v>
      </c>
      <c r="D45" s="1" t="s">
        <v>16</v>
      </c>
      <c r="E45" s="1" t="s">
        <v>782</v>
      </c>
      <c r="F45" s="1" t="s">
        <v>17</v>
      </c>
      <c r="G45" s="1" t="s">
        <v>802</v>
      </c>
      <c r="H45" s="1" t="s">
        <v>1019</v>
      </c>
      <c r="I45" s="1" t="s">
        <v>477</v>
      </c>
      <c r="J45" s="1" t="s">
        <v>146</v>
      </c>
      <c r="K45" s="5">
        <v>423876</v>
      </c>
      <c r="L45" s="6">
        <v>44179</v>
      </c>
      <c r="M45" s="6">
        <v>44196</v>
      </c>
      <c r="N45" s="1" t="s">
        <v>1136</v>
      </c>
      <c r="O45" s="1" t="s">
        <v>1161</v>
      </c>
    </row>
    <row r="46" spans="1:15" x14ac:dyDescent="0.25">
      <c r="A46" s="4">
        <v>42</v>
      </c>
      <c r="B46" s="2" t="str">
        <f>HYPERLINK("https://my.zakupki.prom.ua/remote/dispatcher/state_purchase_view/19699657", "UA-2020-09-29-008583-a")</f>
        <v>UA-2020-09-29-008583-a</v>
      </c>
      <c r="C46" s="2" t="str">
        <f>HYPERLINK("https://my.zakupki.prom.ua/remote/dispatcher/state_contracting_view/6170244", "UA-2020-09-29-008583-a-a1")</f>
        <v>UA-2020-09-29-008583-a-a1</v>
      </c>
      <c r="D46" s="1" t="s">
        <v>415</v>
      </c>
      <c r="E46" s="1" t="s">
        <v>861</v>
      </c>
      <c r="F46" s="1" t="s">
        <v>414</v>
      </c>
      <c r="G46" s="1" t="s">
        <v>802</v>
      </c>
      <c r="H46" s="1" t="s">
        <v>926</v>
      </c>
      <c r="I46" s="1" t="s">
        <v>407</v>
      </c>
      <c r="J46" s="1" t="s">
        <v>435</v>
      </c>
      <c r="K46" s="5">
        <v>1468914</v>
      </c>
      <c r="L46" s="6">
        <v>44137</v>
      </c>
      <c r="M46" s="6">
        <v>44196</v>
      </c>
      <c r="N46" s="1" t="s">
        <v>1136</v>
      </c>
      <c r="O46" s="1" t="s">
        <v>1161</v>
      </c>
    </row>
    <row r="47" spans="1:15" x14ac:dyDescent="0.25">
      <c r="A47" s="4">
        <v>43</v>
      </c>
      <c r="B47" s="2" t="str">
        <f>HYPERLINK("https://my.zakupki.prom.ua/remote/dispatcher/state_purchase_view/21511800", "UA-2020-11-27-002290-b")</f>
        <v>UA-2020-11-27-002290-b</v>
      </c>
      <c r="C47" s="2" t="str">
        <f>HYPERLINK("https://my.zakupki.prom.ua/remote/dispatcher/state_contracting_view/6546507", "UA-2020-11-27-002290-b-b1")</f>
        <v>UA-2020-11-27-002290-b-b1</v>
      </c>
      <c r="D47" s="1" t="s">
        <v>704</v>
      </c>
      <c r="E47" s="1" t="s">
        <v>774</v>
      </c>
      <c r="F47" s="1" t="s">
        <v>705</v>
      </c>
      <c r="G47" s="1" t="s">
        <v>860</v>
      </c>
      <c r="H47" s="1" t="s">
        <v>1069</v>
      </c>
      <c r="I47" s="1" t="s">
        <v>523</v>
      </c>
      <c r="J47" s="1" t="s">
        <v>178</v>
      </c>
      <c r="K47" s="5">
        <v>47700</v>
      </c>
      <c r="L47" s="6">
        <v>44161</v>
      </c>
      <c r="M47" s="6">
        <v>44194</v>
      </c>
      <c r="N47" s="1" t="s">
        <v>1127</v>
      </c>
      <c r="O47" s="1" t="s">
        <v>1161</v>
      </c>
    </row>
    <row r="48" spans="1:15" x14ac:dyDescent="0.25">
      <c r="A48" s="4">
        <v>44</v>
      </c>
      <c r="B48" s="2" t="str">
        <f>HYPERLINK("https://my.zakupki.prom.ua/remote/dispatcher/state_purchase_view/20834067", "UA-2020-11-06-005071-c")</f>
        <v>UA-2020-11-06-005071-c</v>
      </c>
      <c r="C48" s="2" t="str">
        <f>HYPERLINK("https://my.zakupki.prom.ua/remote/dispatcher/state_contracting_view/6243120", "UA-2020-11-06-005071-c-c1")</f>
        <v>UA-2020-11-06-005071-c-c1</v>
      </c>
      <c r="D48" s="1" t="s">
        <v>914</v>
      </c>
      <c r="E48" s="1" t="s">
        <v>915</v>
      </c>
      <c r="F48" s="1" t="s">
        <v>17</v>
      </c>
      <c r="G48" s="1" t="s">
        <v>860</v>
      </c>
      <c r="H48" s="1" t="s">
        <v>1095</v>
      </c>
      <c r="I48" s="1" t="s">
        <v>519</v>
      </c>
      <c r="J48" s="1" t="s">
        <v>33</v>
      </c>
      <c r="K48" s="5">
        <v>49680</v>
      </c>
      <c r="L48" s="6">
        <v>44141</v>
      </c>
      <c r="M48" s="6">
        <v>44196</v>
      </c>
      <c r="N48" s="1" t="s">
        <v>1127</v>
      </c>
      <c r="O48" s="1" t="s">
        <v>1161</v>
      </c>
    </row>
    <row r="49" spans="1:15" x14ac:dyDescent="0.25">
      <c r="A49" s="4">
        <v>45</v>
      </c>
      <c r="B49" s="2" t="str">
        <f>HYPERLINK("https://my.zakupki.prom.ua/remote/dispatcher/state_purchase_view/16787197", "UA-2020-05-21-001906-c")</f>
        <v>UA-2020-05-21-001906-c</v>
      </c>
      <c r="C49" s="2" t="str">
        <f>HYPERLINK("https://my.zakupki.prom.ua/remote/dispatcher/state_contracting_view/4326684", "UA-2020-05-21-001906-c-c1")</f>
        <v>UA-2020-05-21-001906-c-c1</v>
      </c>
      <c r="D49" s="1" t="s">
        <v>707</v>
      </c>
      <c r="E49" s="1" t="s">
        <v>707</v>
      </c>
      <c r="F49" s="1" t="s">
        <v>706</v>
      </c>
      <c r="G49" s="1" t="s">
        <v>860</v>
      </c>
      <c r="H49" s="1" t="s">
        <v>752</v>
      </c>
      <c r="I49" s="1" t="s">
        <v>249</v>
      </c>
      <c r="J49" s="1" t="s">
        <v>105</v>
      </c>
      <c r="K49" s="5">
        <v>5000</v>
      </c>
      <c r="L49" s="6">
        <v>43970</v>
      </c>
      <c r="M49" s="6">
        <v>44196</v>
      </c>
      <c r="N49" s="1" t="s">
        <v>1127</v>
      </c>
      <c r="O49" s="1" t="s">
        <v>1161</v>
      </c>
    </row>
    <row r="50" spans="1:15" x14ac:dyDescent="0.25">
      <c r="A50" s="4">
        <v>46</v>
      </c>
      <c r="B50" s="2" t="str">
        <f>HYPERLINK("https://my.zakupki.prom.ua/remote/dispatcher/state_purchase_view/14718836", "UA-2020-01-22-003195-a")</f>
        <v>UA-2020-01-22-003195-a</v>
      </c>
      <c r="C50" s="2" t="str">
        <f>HYPERLINK("https://my.zakupki.prom.ua/remote/dispatcher/state_contracting_view/3669177", "UA-2020-01-22-003195-a-a1")</f>
        <v>UA-2020-01-22-003195-a-a1</v>
      </c>
      <c r="D50" s="1" t="s">
        <v>281</v>
      </c>
      <c r="E50" s="1" t="s">
        <v>282</v>
      </c>
      <c r="F50" s="1" t="s">
        <v>280</v>
      </c>
      <c r="G50" s="1" t="s">
        <v>860</v>
      </c>
      <c r="H50" s="1" t="s">
        <v>1116</v>
      </c>
      <c r="I50" s="1" t="s">
        <v>218</v>
      </c>
      <c r="J50" s="1" t="s">
        <v>689</v>
      </c>
      <c r="K50" s="5">
        <v>200000</v>
      </c>
      <c r="L50" s="6">
        <v>43852</v>
      </c>
      <c r="M50" s="6">
        <v>44196</v>
      </c>
      <c r="N50" s="1" t="s">
        <v>1127</v>
      </c>
      <c r="O50" s="1" t="s">
        <v>1161</v>
      </c>
    </row>
    <row r="51" spans="1:15" x14ac:dyDescent="0.25">
      <c r="A51" s="4">
        <v>47</v>
      </c>
      <c r="B51" s="2" t="str">
        <f>HYPERLINK("https://my.zakupki.prom.ua/remote/dispatcher/state_purchase_view/19046985", "UA-2020-09-07-002514-b")</f>
        <v>UA-2020-09-07-002514-b</v>
      </c>
      <c r="C51" s="2" t="str">
        <f>HYPERLINK("https://my.zakupki.prom.ua/remote/dispatcher/state_contracting_view/5378140", "UA-2020-09-07-002514-b-b1")</f>
        <v>UA-2020-09-07-002514-b-b1</v>
      </c>
      <c r="D51" s="1" t="s">
        <v>1002</v>
      </c>
      <c r="E51" s="1" t="s">
        <v>768</v>
      </c>
      <c r="F51" s="1" t="s">
        <v>57</v>
      </c>
      <c r="G51" s="1" t="s">
        <v>860</v>
      </c>
      <c r="H51" s="1" t="s">
        <v>1032</v>
      </c>
      <c r="I51" s="1" t="s">
        <v>135</v>
      </c>
      <c r="J51" s="1" t="s">
        <v>245</v>
      </c>
      <c r="K51" s="5">
        <v>34200</v>
      </c>
      <c r="L51" s="6">
        <v>44078</v>
      </c>
      <c r="M51" s="6">
        <v>44196</v>
      </c>
      <c r="N51" s="1" t="s">
        <v>1127</v>
      </c>
      <c r="O51" s="1" t="s">
        <v>1161</v>
      </c>
    </row>
    <row r="52" spans="1:15" x14ac:dyDescent="0.25">
      <c r="A52" s="4">
        <v>48</v>
      </c>
      <c r="B52" s="2" t="str">
        <f>HYPERLINK("https://my.zakupki.prom.ua/remote/dispatcher/state_purchase_view/14867706", "UA-2020-01-27-004693-a")</f>
        <v>UA-2020-01-27-004693-a</v>
      </c>
      <c r="C52" s="2" t="str">
        <f>HYPERLINK("https://my.zakupki.prom.ua/remote/dispatcher/state_contracting_view/3696692", "UA-2020-01-27-004693-a-a1")</f>
        <v>UA-2020-01-27-004693-a-a1</v>
      </c>
      <c r="D52" s="1" t="s">
        <v>391</v>
      </c>
      <c r="E52" s="1" t="s">
        <v>392</v>
      </c>
      <c r="F52" s="1" t="s">
        <v>388</v>
      </c>
      <c r="G52" s="1" t="s">
        <v>860</v>
      </c>
      <c r="H52" s="1" t="s">
        <v>837</v>
      </c>
      <c r="I52" s="1" t="s">
        <v>150</v>
      </c>
      <c r="J52" s="1" t="s">
        <v>696</v>
      </c>
      <c r="K52" s="5">
        <v>200000</v>
      </c>
      <c r="L52" s="6">
        <v>43857</v>
      </c>
      <c r="M52" s="6">
        <v>44196</v>
      </c>
      <c r="N52" s="1" t="s">
        <v>1127</v>
      </c>
      <c r="O52" s="1" t="s">
        <v>1161</v>
      </c>
    </row>
    <row r="53" spans="1:15" x14ac:dyDescent="0.25">
      <c r="A53" s="4">
        <v>49</v>
      </c>
      <c r="B53" s="2" t="str">
        <f>HYPERLINK("https://my.zakupki.prom.ua/remote/dispatcher/state_purchase_view/20120934", "UA-2020-10-15-006305-c")</f>
        <v>UA-2020-10-15-006305-c</v>
      </c>
      <c r="C53" s="2" t="str">
        <f>HYPERLINK("https://my.zakupki.prom.ua/remote/dispatcher/state_contracting_view/5889118", "UA-2020-10-15-006305-c-c1")</f>
        <v>UA-2020-10-15-006305-c-c1</v>
      </c>
      <c r="D53" s="1" t="s">
        <v>557</v>
      </c>
      <c r="E53" s="1" t="s">
        <v>1144</v>
      </c>
      <c r="F53" s="1" t="s">
        <v>556</v>
      </c>
      <c r="G53" s="1" t="s">
        <v>860</v>
      </c>
      <c r="H53" s="1" t="s">
        <v>1029</v>
      </c>
      <c r="I53" s="1" t="s">
        <v>472</v>
      </c>
      <c r="J53" s="1" t="s">
        <v>361</v>
      </c>
      <c r="K53" s="5">
        <v>48266.400000000001</v>
      </c>
      <c r="L53" s="6">
        <v>44116</v>
      </c>
      <c r="M53" s="6">
        <v>44196</v>
      </c>
      <c r="N53" s="1" t="s">
        <v>1127</v>
      </c>
      <c r="O53" s="1" t="s">
        <v>1161</v>
      </c>
    </row>
    <row r="54" spans="1:15" x14ac:dyDescent="0.25">
      <c r="A54" s="4">
        <v>50</v>
      </c>
      <c r="B54" s="2" t="str">
        <f>HYPERLINK("https://my.zakupki.prom.ua/remote/dispatcher/state_purchase_view/17737316", "UA-2020-07-08-005430-c")</f>
        <v>UA-2020-07-08-005430-c</v>
      </c>
      <c r="C54" s="2" t="str">
        <f>HYPERLINK("https://my.zakupki.prom.ua/remote/dispatcher/state_contracting_view/4763206", "UA-2020-07-08-005430-c-c1")</f>
        <v>UA-2020-07-08-005430-c-c1</v>
      </c>
      <c r="D54" s="1" t="s">
        <v>887</v>
      </c>
      <c r="E54" s="1" t="s">
        <v>988</v>
      </c>
      <c r="F54" s="1" t="s">
        <v>587</v>
      </c>
      <c r="G54" s="1" t="s">
        <v>860</v>
      </c>
      <c r="H54" s="1" t="s">
        <v>1057</v>
      </c>
      <c r="I54" s="1" t="s">
        <v>5</v>
      </c>
      <c r="J54" s="1" t="s">
        <v>187</v>
      </c>
      <c r="K54" s="5">
        <v>33729.9</v>
      </c>
      <c r="L54" s="6">
        <v>44020</v>
      </c>
      <c r="M54" s="6">
        <v>44196</v>
      </c>
      <c r="N54" s="1" t="s">
        <v>1127</v>
      </c>
      <c r="O54" s="1" t="s">
        <v>1161</v>
      </c>
    </row>
    <row r="55" spans="1:15" x14ac:dyDescent="0.25">
      <c r="A55" s="4">
        <v>51</v>
      </c>
      <c r="B55" s="2" t="str">
        <f>HYPERLINK("https://my.zakupki.prom.ua/remote/dispatcher/state_purchase_view/14465881", "UA-2020-01-14-000088-c")</f>
        <v>UA-2020-01-14-000088-c</v>
      </c>
      <c r="C55" s="2" t="str">
        <f>HYPERLINK("https://my.zakupki.prom.ua/remote/dispatcher/state_contracting_view/3627078", "UA-2020-01-14-000088-c-c1")</f>
        <v>UA-2020-01-14-000088-c-c1</v>
      </c>
      <c r="D55" s="1" t="s">
        <v>59</v>
      </c>
      <c r="E55" s="1" t="s">
        <v>60</v>
      </c>
      <c r="F55" s="1" t="s">
        <v>57</v>
      </c>
      <c r="G55" s="1" t="s">
        <v>860</v>
      </c>
      <c r="H55" s="1" t="s">
        <v>1074</v>
      </c>
      <c r="I55" s="1" t="s">
        <v>447</v>
      </c>
      <c r="J55" s="1" t="s">
        <v>382</v>
      </c>
      <c r="K55" s="5">
        <v>80000</v>
      </c>
      <c r="L55" s="6">
        <v>43843</v>
      </c>
      <c r="M55" s="6">
        <v>44196</v>
      </c>
      <c r="N55" s="1" t="s">
        <v>1127</v>
      </c>
      <c r="O55" s="1" t="s">
        <v>1161</v>
      </c>
    </row>
    <row r="56" spans="1:15" x14ac:dyDescent="0.25">
      <c r="A56" s="4">
        <v>52</v>
      </c>
      <c r="B56" s="2" t="str">
        <f>HYPERLINK("https://my.zakupki.prom.ua/remote/dispatcher/state_purchase_view/14369662", "UA-2020-01-03-000031-a")</f>
        <v>UA-2020-01-03-000031-a</v>
      </c>
      <c r="C56" s="2" t="str">
        <f>HYPERLINK("https://my.zakupki.prom.ua/remote/dispatcher/state_contracting_view/3611839", "UA-2020-01-03-000031-a-a1")</f>
        <v>UA-2020-01-03-000031-a-a1</v>
      </c>
      <c r="D56" s="1" t="s">
        <v>639</v>
      </c>
      <c r="E56" s="1" t="s">
        <v>640</v>
      </c>
      <c r="F56" s="1" t="s">
        <v>637</v>
      </c>
      <c r="G56" s="1" t="s">
        <v>860</v>
      </c>
      <c r="H56" s="1" t="s">
        <v>934</v>
      </c>
      <c r="I56" s="1" t="s">
        <v>434</v>
      </c>
      <c r="J56" s="1" t="s">
        <v>31</v>
      </c>
      <c r="K56" s="5">
        <v>100000</v>
      </c>
      <c r="L56" s="6">
        <v>43832</v>
      </c>
      <c r="M56" s="6">
        <v>44196</v>
      </c>
      <c r="N56" s="1" t="s">
        <v>1127</v>
      </c>
      <c r="O56" s="1" t="s">
        <v>1161</v>
      </c>
    </row>
    <row r="57" spans="1:15" x14ac:dyDescent="0.25">
      <c r="A57" s="4">
        <v>53</v>
      </c>
      <c r="B57" s="2" t="str">
        <f>HYPERLINK("https://my.zakupki.prom.ua/remote/dispatcher/state_purchase_view/14415835", "UA-2020-01-10-000012-c")</f>
        <v>UA-2020-01-10-000012-c</v>
      </c>
      <c r="C57" s="2" t="str">
        <f>HYPERLINK("https://my.zakupki.prom.ua/remote/dispatcher/state_contracting_view/3619566", "UA-2020-01-10-000012-c-c1")</f>
        <v>UA-2020-01-10-000012-c-c1</v>
      </c>
      <c r="D57" s="1" t="s">
        <v>490</v>
      </c>
      <c r="E57" s="1" t="s">
        <v>491</v>
      </c>
      <c r="F57" s="1" t="s">
        <v>489</v>
      </c>
      <c r="G57" s="1" t="s">
        <v>860</v>
      </c>
      <c r="H57" s="1" t="s">
        <v>1040</v>
      </c>
      <c r="I57" s="1" t="s">
        <v>474</v>
      </c>
      <c r="J57" s="1" t="s">
        <v>147</v>
      </c>
      <c r="K57" s="5">
        <v>20000</v>
      </c>
      <c r="L57" s="6">
        <v>43839</v>
      </c>
      <c r="M57" s="6">
        <v>44196</v>
      </c>
      <c r="N57" s="1" t="s">
        <v>1127</v>
      </c>
      <c r="O57" s="1" t="s">
        <v>1161</v>
      </c>
    </row>
    <row r="58" spans="1:15" x14ac:dyDescent="0.25">
      <c r="A58" s="4">
        <v>54</v>
      </c>
      <c r="B58" s="2" t="str">
        <f>HYPERLINK("https://my.zakupki.prom.ua/remote/dispatcher/state_purchase_view/15208043", "UA-2020-02-11-000361-b")</f>
        <v>UA-2020-02-11-000361-b</v>
      </c>
      <c r="C58" s="2" t="str">
        <f>HYPERLINK("https://my.zakupki.prom.ua/remote/dispatcher/state_contracting_view/3779364", "UA-2020-02-11-000361-b-b1")</f>
        <v>UA-2020-02-11-000361-b-b1</v>
      </c>
      <c r="D58" s="1" t="s">
        <v>824</v>
      </c>
      <c r="E58" s="1" t="s">
        <v>824</v>
      </c>
      <c r="F58" s="1" t="s">
        <v>256</v>
      </c>
      <c r="G58" s="1" t="s">
        <v>860</v>
      </c>
      <c r="H58" s="1" t="s">
        <v>1065</v>
      </c>
      <c r="I58" s="1" t="s">
        <v>172</v>
      </c>
      <c r="J58" s="1" t="s">
        <v>747</v>
      </c>
      <c r="K58" s="5">
        <v>25000</v>
      </c>
      <c r="L58" s="6">
        <v>43871</v>
      </c>
      <c r="M58" s="6">
        <v>44196</v>
      </c>
      <c r="N58" s="1" t="s">
        <v>1127</v>
      </c>
      <c r="O58" s="1" t="s">
        <v>1161</v>
      </c>
    </row>
    <row r="59" spans="1:15" x14ac:dyDescent="0.25">
      <c r="A59" s="4">
        <v>55</v>
      </c>
      <c r="B59" s="2" t="str">
        <f>HYPERLINK("https://my.zakupki.prom.ua/remote/dispatcher/state_purchase_view/15847167", "UA-2020-03-19-000123-b")</f>
        <v>UA-2020-03-19-000123-b</v>
      </c>
      <c r="C59" s="2" t="str">
        <f>HYPERLINK("https://my.zakupki.prom.ua/remote/dispatcher/state_contracting_view/3964903", "UA-2020-03-19-000123-b-b1")</f>
        <v>UA-2020-03-19-000123-b-b1</v>
      </c>
      <c r="D59" s="1" t="s">
        <v>680</v>
      </c>
      <c r="E59" s="1" t="s">
        <v>680</v>
      </c>
      <c r="F59" s="1" t="s">
        <v>679</v>
      </c>
      <c r="G59" s="1" t="s">
        <v>860</v>
      </c>
      <c r="H59" s="1" t="s">
        <v>1053</v>
      </c>
      <c r="I59" s="1" t="s">
        <v>440</v>
      </c>
      <c r="J59" s="1" t="s">
        <v>40</v>
      </c>
      <c r="K59" s="5">
        <v>151200</v>
      </c>
      <c r="L59" s="6">
        <v>43908</v>
      </c>
      <c r="M59" s="6">
        <v>44196</v>
      </c>
      <c r="N59" s="1" t="s">
        <v>1127</v>
      </c>
      <c r="O59" s="1" t="s">
        <v>1161</v>
      </c>
    </row>
    <row r="60" spans="1:15" x14ac:dyDescent="0.25">
      <c r="A60" s="4">
        <v>56</v>
      </c>
      <c r="B60" s="2" t="str">
        <f>HYPERLINK("https://my.zakupki.prom.ua/remote/dispatcher/state_purchase_view/16027180", "UA-2020-03-30-002129-b")</f>
        <v>UA-2020-03-30-002129-b</v>
      </c>
      <c r="C60" s="2" t="str">
        <f>HYPERLINK("https://my.zakupki.prom.ua/remote/dispatcher/state_contracting_view/4024507", "UA-2020-03-30-002129-b-b1")</f>
        <v>UA-2020-03-30-002129-b-b1</v>
      </c>
      <c r="D60" s="1" t="s">
        <v>607</v>
      </c>
      <c r="E60" s="1" t="s">
        <v>607</v>
      </c>
      <c r="F60" s="1" t="s">
        <v>605</v>
      </c>
      <c r="G60" s="1" t="s">
        <v>860</v>
      </c>
      <c r="H60" s="1" t="s">
        <v>1057</v>
      </c>
      <c r="I60" s="1" t="s">
        <v>5</v>
      </c>
      <c r="J60" s="1" t="s">
        <v>66</v>
      </c>
      <c r="K60" s="5">
        <v>250000</v>
      </c>
      <c r="L60" s="6">
        <v>43920</v>
      </c>
      <c r="M60" s="6">
        <v>44196</v>
      </c>
      <c r="N60" s="1" t="s">
        <v>1127</v>
      </c>
      <c r="O60" s="1" t="s">
        <v>1161</v>
      </c>
    </row>
    <row r="61" spans="1:15" x14ac:dyDescent="0.25">
      <c r="A61" s="4">
        <v>57</v>
      </c>
      <c r="B61" s="2" t="str">
        <f>HYPERLINK("https://my.zakupki.prom.ua/remote/dispatcher/state_purchase_view/15080160", "UA-2020-02-04-003195-c")</f>
        <v>UA-2020-02-04-003195-c</v>
      </c>
      <c r="C61" s="2" t="str">
        <f>HYPERLINK("https://my.zakupki.prom.ua/remote/dispatcher/state_contracting_view/3748054", "UA-2020-02-04-003195-c-c1")</f>
        <v>UA-2020-02-04-003195-c-c1</v>
      </c>
      <c r="D61" s="1" t="s">
        <v>644</v>
      </c>
      <c r="E61" s="1" t="s">
        <v>645</v>
      </c>
      <c r="F61" s="1" t="s">
        <v>641</v>
      </c>
      <c r="G61" s="1" t="s">
        <v>860</v>
      </c>
      <c r="H61" s="1" t="s">
        <v>1087</v>
      </c>
      <c r="I61" s="1" t="s">
        <v>476</v>
      </c>
      <c r="J61" s="1" t="s">
        <v>731</v>
      </c>
      <c r="K61" s="5">
        <v>100000</v>
      </c>
      <c r="L61" s="6">
        <v>43865</v>
      </c>
      <c r="M61" s="6">
        <v>44196</v>
      </c>
      <c r="N61" s="1" t="s">
        <v>1127</v>
      </c>
      <c r="O61" s="1" t="s">
        <v>1161</v>
      </c>
    </row>
    <row r="62" spans="1:15" x14ac:dyDescent="0.25">
      <c r="A62" s="4">
        <v>58</v>
      </c>
      <c r="B62" s="2" t="str">
        <f>HYPERLINK("https://my.zakupki.prom.ua/remote/dispatcher/state_purchase_view/13924676", "UA-2019-12-09-000314-b")</f>
        <v>UA-2019-12-09-000314-b</v>
      </c>
      <c r="C62" s="2" t="str">
        <f>HYPERLINK("https://my.zakupki.prom.ua/remote/dispatcher/state_contracting_view/3858068", "UA-2019-12-09-000314-b-b1")</f>
        <v>UA-2019-12-09-000314-b-b1</v>
      </c>
      <c r="D62" s="1" t="s">
        <v>819</v>
      </c>
      <c r="E62" s="1" t="s">
        <v>818</v>
      </c>
      <c r="F62" s="1" t="s">
        <v>20</v>
      </c>
      <c r="G62" s="1" t="s">
        <v>803</v>
      </c>
      <c r="H62" s="1" t="s">
        <v>846</v>
      </c>
      <c r="I62" s="1" t="s">
        <v>462</v>
      </c>
      <c r="J62" s="1" t="s">
        <v>27</v>
      </c>
      <c r="K62" s="5">
        <v>22494218.399999999</v>
      </c>
      <c r="L62" s="6">
        <v>43887</v>
      </c>
      <c r="M62" s="6">
        <v>44196</v>
      </c>
      <c r="N62" s="1" t="s">
        <v>1136</v>
      </c>
      <c r="O62" s="1" t="s">
        <v>1161</v>
      </c>
    </row>
    <row r="63" spans="1:15" x14ac:dyDescent="0.25">
      <c r="A63" s="4">
        <v>59</v>
      </c>
      <c r="B63" s="2" t="str">
        <f>HYPERLINK("https://my.zakupki.prom.ua/remote/dispatcher/state_purchase_view/16295155", "UA-2020-04-15-003357-b")</f>
        <v>UA-2020-04-15-003357-b</v>
      </c>
      <c r="C63" s="2" t="str">
        <f>HYPERLINK("https://my.zakupki.prom.ua/remote/dispatcher/state_contracting_view/4119696", "UA-2020-04-15-003357-b-b1")</f>
        <v>UA-2020-04-15-003357-b-b1</v>
      </c>
      <c r="D63" s="1" t="s">
        <v>403</v>
      </c>
      <c r="E63" s="1" t="s">
        <v>403</v>
      </c>
      <c r="F63" s="1" t="s">
        <v>401</v>
      </c>
      <c r="G63" s="1" t="s">
        <v>860</v>
      </c>
      <c r="H63" s="1" t="s">
        <v>907</v>
      </c>
      <c r="I63" s="1" t="s">
        <v>211</v>
      </c>
      <c r="J63" s="1" t="s">
        <v>88</v>
      </c>
      <c r="K63" s="5">
        <v>207841.32</v>
      </c>
      <c r="L63" s="6">
        <v>43936</v>
      </c>
      <c r="M63" s="6">
        <v>44196</v>
      </c>
      <c r="N63" s="1" t="s">
        <v>1127</v>
      </c>
      <c r="O63" s="1" t="s">
        <v>1161</v>
      </c>
    </row>
    <row r="64" spans="1:15" x14ac:dyDescent="0.25">
      <c r="A64" s="4">
        <v>60</v>
      </c>
      <c r="B64" s="2" t="str">
        <f>HYPERLINK("https://my.zakupki.prom.ua/remote/dispatcher/state_purchase_view/19031449", "UA-2020-09-04-010901-b")</f>
        <v>UA-2020-09-04-010901-b</v>
      </c>
      <c r="C64" s="2" t="str">
        <f>HYPERLINK("https://my.zakupki.prom.ua/remote/dispatcher/state_contracting_view/5903315", "UA-2020-09-04-010901-b-a1")</f>
        <v>UA-2020-09-04-010901-b-a1</v>
      </c>
      <c r="D64" s="1" t="s">
        <v>606</v>
      </c>
      <c r="E64" s="1" t="s">
        <v>987</v>
      </c>
      <c r="F64" s="1" t="s">
        <v>605</v>
      </c>
      <c r="G64" s="1" t="s">
        <v>802</v>
      </c>
      <c r="H64" s="1" t="s">
        <v>1026</v>
      </c>
      <c r="I64" s="1" t="s">
        <v>387</v>
      </c>
      <c r="J64" s="1" t="s">
        <v>363</v>
      </c>
      <c r="K64" s="5">
        <v>54768.6</v>
      </c>
      <c r="L64" s="6">
        <v>44117</v>
      </c>
      <c r="M64" s="6">
        <v>44196</v>
      </c>
      <c r="N64" s="1" t="s">
        <v>1136</v>
      </c>
      <c r="O64" s="1" t="s">
        <v>1161</v>
      </c>
    </row>
    <row r="65" spans="1:15" x14ac:dyDescent="0.25">
      <c r="A65" s="4">
        <v>61</v>
      </c>
      <c r="B65" s="2" t="str">
        <f>HYPERLINK("https://my.zakupki.prom.ua/remote/dispatcher/state_purchase_view/18277302", "UA-2020-08-03-004886-a")</f>
        <v>UA-2020-08-03-004886-a</v>
      </c>
      <c r="C65" s="2" t="str">
        <f>HYPERLINK("https://my.zakupki.prom.ua/remote/dispatcher/state_contracting_view/5376513", "UA-2020-08-03-004886-a-a1")</f>
        <v>UA-2020-08-03-004886-a-a1</v>
      </c>
      <c r="D65" s="1" t="s">
        <v>288</v>
      </c>
      <c r="E65" s="1" t="s">
        <v>794</v>
      </c>
      <c r="F65" s="1" t="s">
        <v>287</v>
      </c>
      <c r="G65" s="1" t="s">
        <v>802</v>
      </c>
      <c r="H65" s="1" t="s">
        <v>1106</v>
      </c>
      <c r="I65" s="1" t="s">
        <v>219</v>
      </c>
      <c r="J65" s="1" t="s">
        <v>244</v>
      </c>
      <c r="K65" s="5">
        <v>388200</v>
      </c>
      <c r="L65" s="6">
        <v>44078</v>
      </c>
      <c r="M65" s="6">
        <v>44196</v>
      </c>
      <c r="N65" s="1" t="s">
        <v>1136</v>
      </c>
      <c r="O65" s="1" t="s">
        <v>1161</v>
      </c>
    </row>
    <row r="66" spans="1:15" x14ac:dyDescent="0.25">
      <c r="A66" s="4">
        <v>62</v>
      </c>
      <c r="B66" s="2" t="str">
        <f>HYPERLINK("https://my.zakupki.prom.ua/remote/dispatcher/state_purchase_view/20090925", "UA-2020-10-13-007429-c")</f>
        <v>UA-2020-10-13-007429-c</v>
      </c>
      <c r="C66" s="2" t="str">
        <f>HYPERLINK("https://my.zakupki.prom.ua/remote/dispatcher/state_contracting_view/6359100", "UA-2020-10-13-007429-c-c1")</f>
        <v>UA-2020-10-13-007429-c-c1</v>
      </c>
      <c r="D66" s="1" t="s">
        <v>571</v>
      </c>
      <c r="E66" s="1" t="s">
        <v>905</v>
      </c>
      <c r="F66" s="1" t="s">
        <v>568</v>
      </c>
      <c r="G66" s="1" t="s">
        <v>802</v>
      </c>
      <c r="H66" s="1" t="s">
        <v>1111</v>
      </c>
      <c r="I66" s="1" t="s">
        <v>204</v>
      </c>
      <c r="J66" s="1" t="s">
        <v>446</v>
      </c>
      <c r="K66" s="5">
        <v>139476</v>
      </c>
      <c r="L66" s="6">
        <v>44148</v>
      </c>
      <c r="M66" s="6">
        <v>44196</v>
      </c>
      <c r="N66" s="1" t="s">
        <v>1136</v>
      </c>
      <c r="O66" s="1" t="s">
        <v>1161</v>
      </c>
    </row>
    <row r="67" spans="1:15" x14ac:dyDescent="0.25">
      <c r="A67" s="4">
        <v>63</v>
      </c>
      <c r="B67" s="2" t="str">
        <f>HYPERLINK("https://my.zakupki.prom.ua/remote/dispatcher/state_purchase_view/20269319", "UA-2020-10-20-003673-a")</f>
        <v>UA-2020-10-20-003673-a</v>
      </c>
      <c r="C67" s="2" t="str">
        <f>HYPERLINK("https://my.zakupki.prom.ua/remote/dispatcher/state_contracting_view/6280564", "UA-2020-10-20-003673-a-c1")</f>
        <v>UA-2020-10-20-003673-a-c1</v>
      </c>
      <c r="D67" s="1" t="s">
        <v>44</v>
      </c>
      <c r="E67" s="1" t="s">
        <v>1121</v>
      </c>
      <c r="F67" s="1" t="s">
        <v>43</v>
      </c>
      <c r="G67" s="1" t="s">
        <v>843</v>
      </c>
      <c r="H67" s="1" t="s">
        <v>790</v>
      </c>
      <c r="I67" s="1" t="s">
        <v>559</v>
      </c>
      <c r="J67" s="1" t="s">
        <v>444</v>
      </c>
      <c r="K67" s="5">
        <v>280185</v>
      </c>
      <c r="L67" s="6">
        <v>44145</v>
      </c>
      <c r="M67" s="6">
        <v>44196</v>
      </c>
      <c r="N67" s="1" t="s">
        <v>1136</v>
      </c>
      <c r="O67" s="1" t="s">
        <v>1161</v>
      </c>
    </row>
    <row r="68" spans="1:15" x14ac:dyDescent="0.25">
      <c r="A68" s="4">
        <v>64</v>
      </c>
      <c r="B68" s="2" t="str">
        <f>HYPERLINK("https://my.zakupki.prom.ua/remote/dispatcher/state_purchase_view/18736495", "UA-2020-08-21-007916-a")</f>
        <v>UA-2020-08-21-007916-a</v>
      </c>
      <c r="C68" s="2" t="str">
        <f>HYPERLINK("https://my.zakupki.prom.ua/remote/dispatcher/state_contracting_view/5700482", "UA-2020-08-21-007916-a-b1")</f>
        <v>UA-2020-08-21-007916-a-b1</v>
      </c>
      <c r="D68" s="1" t="s">
        <v>58</v>
      </c>
      <c r="E68" s="1" t="s">
        <v>1005</v>
      </c>
      <c r="F68" s="1" t="s">
        <v>57</v>
      </c>
      <c r="G68" s="1" t="s">
        <v>802</v>
      </c>
      <c r="H68" s="1" t="s">
        <v>1116</v>
      </c>
      <c r="I68" s="1" t="s">
        <v>218</v>
      </c>
      <c r="J68" s="1" t="s">
        <v>342</v>
      </c>
      <c r="K68" s="5">
        <v>929430</v>
      </c>
      <c r="L68" s="6">
        <v>44104</v>
      </c>
      <c r="M68" s="6">
        <v>44196</v>
      </c>
      <c r="N68" s="1" t="s">
        <v>1136</v>
      </c>
      <c r="O68" s="1" t="s">
        <v>1161</v>
      </c>
    </row>
    <row r="69" spans="1:15" x14ac:dyDescent="0.25">
      <c r="A69" s="4">
        <v>65</v>
      </c>
      <c r="B69" s="2" t="str">
        <f>HYPERLINK("https://my.zakupki.prom.ua/remote/dispatcher/state_purchase_view/19419982", "UA-2020-09-18-007028-b")</f>
        <v>UA-2020-09-18-007028-b</v>
      </c>
      <c r="C69" s="2" t="str">
        <f>HYPERLINK("https://my.zakupki.prom.ua/remote/dispatcher/state_contracting_view/5759828", "UA-2020-09-18-007028-b-b1")</f>
        <v>UA-2020-09-18-007028-b-b1</v>
      </c>
      <c r="D69" s="1" t="s">
        <v>542</v>
      </c>
      <c r="E69" s="1" t="s">
        <v>1113</v>
      </c>
      <c r="F69" s="1" t="s">
        <v>543</v>
      </c>
      <c r="G69" s="1" t="s">
        <v>940</v>
      </c>
      <c r="H69" s="1" t="s">
        <v>1116</v>
      </c>
      <c r="I69" s="1" t="s">
        <v>218</v>
      </c>
      <c r="J69" s="1" t="s">
        <v>343</v>
      </c>
      <c r="K69" s="5">
        <v>2514858</v>
      </c>
      <c r="L69" s="6">
        <v>44110</v>
      </c>
      <c r="M69" s="6">
        <v>44196</v>
      </c>
      <c r="N69" s="1" t="s">
        <v>1136</v>
      </c>
      <c r="O69" s="1" t="s">
        <v>1161</v>
      </c>
    </row>
    <row r="70" spans="1:15" x14ac:dyDescent="0.25">
      <c r="A70" s="4">
        <v>66</v>
      </c>
      <c r="B70" s="2" t="str">
        <f>HYPERLINK("https://my.zakupki.prom.ua/remote/dispatcher/state_purchase_view/19453800", "UA-2020-09-21-012567-b")</f>
        <v>UA-2020-09-21-012567-b</v>
      </c>
      <c r="C70" s="2" t="str">
        <f>HYPERLINK("https://my.zakupki.prom.ua/remote/dispatcher/state_contracting_view/5812379", "UA-2020-09-21-012567-b-b1")</f>
        <v>UA-2020-09-21-012567-b-b1</v>
      </c>
      <c r="D70" s="1" t="s">
        <v>318</v>
      </c>
      <c r="E70" s="1" t="s">
        <v>854</v>
      </c>
      <c r="F70" s="1" t="s">
        <v>317</v>
      </c>
      <c r="G70" s="1" t="s">
        <v>940</v>
      </c>
      <c r="H70" s="1" t="s">
        <v>1044</v>
      </c>
      <c r="I70" s="1" t="s">
        <v>528</v>
      </c>
      <c r="J70" s="1" t="s">
        <v>346</v>
      </c>
      <c r="K70" s="5">
        <v>988000</v>
      </c>
      <c r="L70" s="6">
        <v>44111</v>
      </c>
      <c r="M70" s="6">
        <v>44196</v>
      </c>
      <c r="N70" s="1" t="s">
        <v>1136</v>
      </c>
      <c r="O70" s="1" t="s">
        <v>1161</v>
      </c>
    </row>
    <row r="71" spans="1:15" x14ac:dyDescent="0.25">
      <c r="A71" s="4">
        <v>67</v>
      </c>
      <c r="B71" s="2" t="str">
        <f>HYPERLINK("https://my.zakupki.prom.ua/remote/dispatcher/state_purchase_view/14402994", "UA-2020-01-09-000027-c")</f>
        <v>UA-2020-01-09-000027-c</v>
      </c>
      <c r="C71" s="2" t="str">
        <f>HYPERLINK("https://my.zakupki.prom.ua/remote/dispatcher/state_contracting_view/3617019", "UA-2020-01-09-000027-c-c1")</f>
        <v>UA-2020-01-09-000027-c-c1</v>
      </c>
      <c r="D71" s="1" t="s">
        <v>612</v>
      </c>
      <c r="E71" s="1" t="s">
        <v>616</v>
      </c>
      <c r="F71" s="1" t="s">
        <v>611</v>
      </c>
      <c r="G71" s="1" t="s">
        <v>860</v>
      </c>
      <c r="H71" s="1" t="s">
        <v>811</v>
      </c>
      <c r="I71" s="1" t="s">
        <v>237</v>
      </c>
      <c r="J71" s="1" t="s">
        <v>73</v>
      </c>
      <c r="K71" s="5">
        <v>200000</v>
      </c>
      <c r="L71" s="6">
        <v>43838</v>
      </c>
      <c r="M71" s="6">
        <v>44196</v>
      </c>
      <c r="N71" s="1" t="s">
        <v>1127</v>
      </c>
      <c r="O71" s="1" t="s">
        <v>1161</v>
      </c>
    </row>
    <row r="72" spans="1:15" x14ac:dyDescent="0.25">
      <c r="A72" s="4">
        <v>68</v>
      </c>
      <c r="B72" s="2" t="str">
        <f>HYPERLINK("https://my.zakupki.prom.ua/remote/dispatcher/state_purchase_view/15688272", "UA-2020-03-11-000024-b")</f>
        <v>UA-2020-03-11-000024-b</v>
      </c>
      <c r="C72" s="2" t="str">
        <f>HYPERLINK("https://my.zakupki.prom.ua/remote/dispatcher/state_contracting_view/3915646", "UA-2020-03-11-000024-b-b1")</f>
        <v>UA-2020-03-11-000024-b-b1</v>
      </c>
      <c r="D72" s="1" t="s">
        <v>484</v>
      </c>
      <c r="E72" s="1" t="s">
        <v>484</v>
      </c>
      <c r="F72" s="1" t="s">
        <v>483</v>
      </c>
      <c r="G72" s="1" t="s">
        <v>860</v>
      </c>
      <c r="H72" s="1" t="s">
        <v>766</v>
      </c>
      <c r="I72" s="1" t="s">
        <v>81</v>
      </c>
      <c r="J72" s="1" t="s">
        <v>36</v>
      </c>
      <c r="K72" s="5">
        <v>100000</v>
      </c>
      <c r="L72" s="6">
        <v>43900</v>
      </c>
      <c r="M72" s="6">
        <v>44196</v>
      </c>
      <c r="N72" s="1" t="s">
        <v>1127</v>
      </c>
      <c r="O72" s="1" t="s">
        <v>1161</v>
      </c>
    </row>
    <row r="73" spans="1:15" x14ac:dyDescent="0.25">
      <c r="A73" s="4">
        <v>69</v>
      </c>
      <c r="B73" s="2" t="str">
        <f>HYPERLINK("https://my.zakupki.prom.ua/remote/dispatcher/state_purchase_view/15912332", "UA-2020-03-23-003277-b")</f>
        <v>UA-2020-03-23-003277-b</v>
      </c>
      <c r="C73" s="2" t="str">
        <f>HYPERLINK("https://my.zakupki.prom.ua/remote/dispatcher/state_contracting_view/3984961", "UA-2020-03-23-003277-b-b1")</f>
        <v>UA-2020-03-23-003277-b-b1</v>
      </c>
      <c r="D73" s="1" t="s">
        <v>671</v>
      </c>
      <c r="E73" s="1" t="s">
        <v>671</v>
      </c>
      <c r="F73" s="1" t="s">
        <v>670</v>
      </c>
      <c r="G73" s="1" t="s">
        <v>860</v>
      </c>
      <c r="H73" s="1" t="s">
        <v>865</v>
      </c>
      <c r="I73" s="1" t="s">
        <v>114</v>
      </c>
      <c r="J73" s="1" t="s">
        <v>273</v>
      </c>
      <c r="K73" s="5">
        <v>3300</v>
      </c>
      <c r="L73" s="6">
        <v>43913</v>
      </c>
      <c r="M73" s="6">
        <v>44196</v>
      </c>
      <c r="N73" s="1" t="s">
        <v>1127</v>
      </c>
      <c r="O73" s="1" t="s">
        <v>1161</v>
      </c>
    </row>
    <row r="74" spans="1:15" x14ac:dyDescent="0.25">
      <c r="A74" s="4">
        <v>70</v>
      </c>
      <c r="B74" s="2" t="str">
        <f>HYPERLINK("https://my.zakupki.prom.ua/remote/dispatcher/state_purchase_view/15985494", "UA-2020-03-26-003875-b")</f>
        <v>UA-2020-03-26-003875-b</v>
      </c>
      <c r="C74" s="2" t="str">
        <f>HYPERLINK("https://my.zakupki.prom.ua/remote/dispatcher/state_contracting_view/4010695", "UA-2020-03-26-003875-b-b1")</f>
        <v>UA-2020-03-26-003875-b-b1</v>
      </c>
      <c r="D74" s="1" t="s">
        <v>276</v>
      </c>
      <c r="E74" s="1" t="s">
        <v>276</v>
      </c>
      <c r="F74" s="1" t="s">
        <v>275</v>
      </c>
      <c r="G74" s="1" t="s">
        <v>860</v>
      </c>
      <c r="H74" s="1" t="s">
        <v>1041</v>
      </c>
      <c r="I74" s="1" t="s">
        <v>186</v>
      </c>
      <c r="J74" s="1" t="s">
        <v>63</v>
      </c>
      <c r="K74" s="5">
        <v>50000</v>
      </c>
      <c r="L74" s="6">
        <v>43916</v>
      </c>
      <c r="M74" s="6">
        <v>44196</v>
      </c>
      <c r="N74" s="1" t="s">
        <v>1127</v>
      </c>
      <c r="O74" s="1" t="s">
        <v>1161</v>
      </c>
    </row>
    <row r="75" spans="1:15" x14ac:dyDescent="0.25">
      <c r="A75" s="4">
        <v>71</v>
      </c>
      <c r="B75" s="2" t="str">
        <f>HYPERLINK("https://my.zakupki.prom.ua/remote/dispatcher/state_purchase_view/14718777", "UA-2020-01-22-003178-a")</f>
        <v>UA-2020-01-22-003178-a</v>
      </c>
      <c r="C75" s="2" t="str">
        <f>HYPERLINK("https://my.zakupki.prom.ua/remote/dispatcher/state_contracting_view/3669141", "UA-2020-01-22-003178-a-a1")</f>
        <v>UA-2020-01-22-003178-a-a1</v>
      </c>
      <c r="D75" s="1" t="s">
        <v>583</v>
      </c>
      <c r="E75" s="1" t="s">
        <v>583</v>
      </c>
      <c r="F75" s="1" t="s">
        <v>568</v>
      </c>
      <c r="G75" s="1" t="s">
        <v>860</v>
      </c>
      <c r="H75" s="1" t="s">
        <v>1043</v>
      </c>
      <c r="I75" s="1" t="s">
        <v>419</v>
      </c>
      <c r="J75" s="1" t="s">
        <v>686</v>
      </c>
      <c r="K75" s="5">
        <v>50000</v>
      </c>
      <c r="L75" s="6">
        <v>43852</v>
      </c>
      <c r="M75" s="6">
        <v>44196</v>
      </c>
      <c r="N75" s="1" t="s">
        <v>1127</v>
      </c>
      <c r="O75" s="1" t="s">
        <v>1161</v>
      </c>
    </row>
    <row r="76" spans="1:15" x14ac:dyDescent="0.25">
      <c r="A76" s="4">
        <v>72</v>
      </c>
      <c r="B76" s="2" t="str">
        <f>HYPERLINK("https://my.zakupki.prom.ua/remote/dispatcher/state_purchase_view/14536146", "UA-2020-01-16-001517-c")</f>
        <v>UA-2020-01-16-001517-c</v>
      </c>
      <c r="C76" s="2" t="str">
        <f>HYPERLINK("https://my.zakupki.prom.ua/remote/dispatcher/state_contracting_view/3637039", "UA-2020-01-16-001517-c-c1")</f>
        <v>UA-2020-01-16-001517-c-c1</v>
      </c>
      <c r="D76" s="1" t="s">
        <v>728</v>
      </c>
      <c r="E76" s="1" t="s">
        <v>729</v>
      </c>
      <c r="F76" s="1" t="s">
        <v>730</v>
      </c>
      <c r="G76" s="1" t="s">
        <v>860</v>
      </c>
      <c r="H76" s="1" t="s">
        <v>1059</v>
      </c>
      <c r="I76" s="1" t="s">
        <v>466</v>
      </c>
      <c r="J76" s="1" t="s">
        <v>531</v>
      </c>
      <c r="K76" s="5">
        <v>50000</v>
      </c>
      <c r="L76" s="6">
        <v>43846</v>
      </c>
      <c r="M76" s="6">
        <v>44196</v>
      </c>
      <c r="N76" s="1" t="s">
        <v>1127</v>
      </c>
      <c r="O76" s="1" t="s">
        <v>1161</v>
      </c>
    </row>
    <row r="77" spans="1:15" x14ac:dyDescent="0.25">
      <c r="A77" s="4">
        <v>73</v>
      </c>
      <c r="B77" s="2" t="str">
        <f>HYPERLINK("https://my.zakupki.prom.ua/remote/dispatcher/state_purchase_view/14354017", "UA-2019-12-29-000083-c")</f>
        <v>UA-2019-12-29-000083-c</v>
      </c>
      <c r="C77" s="2" t="str">
        <f>HYPERLINK("https://my.zakupki.prom.ua/remote/dispatcher/state_contracting_view/3608378", "UA-2019-12-29-000083-c-c1")</f>
        <v>UA-2019-12-29-000083-c-c1</v>
      </c>
      <c r="D77" s="1" t="s">
        <v>283</v>
      </c>
      <c r="E77" s="1" t="s">
        <v>284</v>
      </c>
      <c r="F77" s="1" t="s">
        <v>280</v>
      </c>
      <c r="G77" s="1" t="s">
        <v>860</v>
      </c>
      <c r="H77" s="1" t="s">
        <v>1031</v>
      </c>
      <c r="I77" s="1" t="s">
        <v>433</v>
      </c>
      <c r="J77" s="1" t="s">
        <v>21</v>
      </c>
      <c r="K77" s="5">
        <v>100000</v>
      </c>
      <c r="L77" s="6">
        <v>43828</v>
      </c>
      <c r="M77" s="6">
        <v>44196</v>
      </c>
      <c r="N77" s="1" t="s">
        <v>1127</v>
      </c>
      <c r="O77" s="1" t="s">
        <v>1161</v>
      </c>
    </row>
    <row r="78" spans="1:15" x14ac:dyDescent="0.25">
      <c r="A78" s="4">
        <v>74</v>
      </c>
      <c r="B78" s="2" t="str">
        <f>HYPERLINK("https://my.zakupki.prom.ua/remote/dispatcher/state_purchase_view/14673278", "UA-2020-01-21-003938-a")</f>
        <v>UA-2020-01-21-003938-a</v>
      </c>
      <c r="C78" s="2" t="str">
        <f>HYPERLINK("https://my.zakupki.prom.ua/remote/dispatcher/state_contracting_view/3660877", "UA-2020-01-21-003938-a-a1")</f>
        <v>UA-2020-01-21-003938-a-a1</v>
      </c>
      <c r="D78" s="1" t="s">
        <v>607</v>
      </c>
      <c r="E78" s="1" t="s">
        <v>608</v>
      </c>
      <c r="F78" s="1" t="s">
        <v>605</v>
      </c>
      <c r="G78" s="1" t="s">
        <v>860</v>
      </c>
      <c r="H78" s="1" t="s">
        <v>1080</v>
      </c>
      <c r="I78" s="1" t="s">
        <v>380</v>
      </c>
      <c r="J78" s="1" t="s">
        <v>682</v>
      </c>
      <c r="K78" s="5">
        <v>100000</v>
      </c>
      <c r="L78" s="6">
        <v>43851</v>
      </c>
      <c r="M78" s="6">
        <v>44196</v>
      </c>
      <c r="N78" s="1" t="s">
        <v>1127</v>
      </c>
      <c r="O78" s="1" t="s">
        <v>1161</v>
      </c>
    </row>
    <row r="79" spans="1:15" x14ac:dyDescent="0.25">
      <c r="A79" s="4">
        <v>75</v>
      </c>
      <c r="B79" s="2" t="str">
        <f>HYPERLINK("https://my.zakupki.prom.ua/remote/dispatcher/state_purchase_view/15084468", "UA-2020-02-04-001460-b")</f>
        <v>UA-2020-02-04-001460-b</v>
      </c>
      <c r="C79" s="2" t="str">
        <f>HYPERLINK("https://my.zakupki.prom.ua/remote/dispatcher/state_contracting_view/3749276", "UA-2020-02-04-001460-b-b1")</f>
        <v>UA-2020-02-04-001460-b-b1</v>
      </c>
      <c r="D79" s="1" t="s">
        <v>336</v>
      </c>
      <c r="E79" s="1" t="s">
        <v>335</v>
      </c>
      <c r="F79" s="1" t="s">
        <v>332</v>
      </c>
      <c r="G79" s="1" t="s">
        <v>860</v>
      </c>
      <c r="H79" s="1" t="s">
        <v>1045</v>
      </c>
      <c r="I79" s="1" t="s">
        <v>525</v>
      </c>
      <c r="J79" s="1" t="s">
        <v>734</v>
      </c>
      <c r="K79" s="5">
        <v>24940</v>
      </c>
      <c r="L79" s="6">
        <v>43865</v>
      </c>
      <c r="M79" s="6">
        <v>44196</v>
      </c>
      <c r="N79" s="1" t="s">
        <v>1127</v>
      </c>
      <c r="O79" s="1" t="s">
        <v>1161</v>
      </c>
    </row>
    <row r="80" spans="1:15" x14ac:dyDescent="0.25">
      <c r="A80" s="4">
        <v>76</v>
      </c>
      <c r="B80" s="2" t="str">
        <f>HYPERLINK("https://my.zakupki.prom.ua/remote/dispatcher/state_purchase_view/15010195", "UA-2020-01-31-003598-a")</f>
        <v>UA-2020-01-31-003598-a</v>
      </c>
      <c r="C80" s="2" t="str">
        <f>HYPERLINK("https://my.zakupki.prom.ua/remote/dispatcher/state_contracting_view/3730767", "UA-2020-01-31-003598-a-a1")</f>
        <v>UA-2020-01-31-003598-a-a1</v>
      </c>
      <c r="D80" s="1" t="s">
        <v>398</v>
      </c>
      <c r="E80" s="1" t="s">
        <v>400</v>
      </c>
      <c r="F80" s="1" t="s">
        <v>395</v>
      </c>
      <c r="G80" s="1" t="s">
        <v>860</v>
      </c>
      <c r="H80" s="1" t="s">
        <v>779</v>
      </c>
      <c r="I80" s="1" t="s">
        <v>215</v>
      </c>
      <c r="J80" s="1" t="s">
        <v>718</v>
      </c>
      <c r="K80" s="5">
        <v>200000</v>
      </c>
      <c r="L80" s="6">
        <v>43861</v>
      </c>
      <c r="M80" s="6">
        <v>44196</v>
      </c>
      <c r="N80" s="1" t="s">
        <v>1127</v>
      </c>
      <c r="O80" s="1" t="s">
        <v>1161</v>
      </c>
    </row>
    <row r="81" spans="1:15" x14ac:dyDescent="0.25">
      <c r="A81" s="4">
        <v>77</v>
      </c>
      <c r="B81" s="2" t="str">
        <f>HYPERLINK("https://my.zakupki.prom.ua/remote/dispatcher/state_purchase_view/15538363", "UA-2020-02-28-002945-a")</f>
        <v>UA-2020-02-28-002945-a</v>
      </c>
      <c r="C81" s="2" t="str">
        <f>HYPERLINK("https://my.zakupki.prom.ua/remote/dispatcher/state_contracting_view/3871098", "UA-2020-02-28-002945-a-a1")</f>
        <v>UA-2020-02-28-002945-a-a1</v>
      </c>
      <c r="D81" s="1" t="s">
        <v>398</v>
      </c>
      <c r="E81" s="1" t="s">
        <v>398</v>
      </c>
      <c r="F81" s="1" t="s">
        <v>395</v>
      </c>
      <c r="G81" s="1" t="s">
        <v>860</v>
      </c>
      <c r="H81" s="1" t="s">
        <v>872</v>
      </c>
      <c r="I81" s="1" t="s">
        <v>246</v>
      </c>
      <c r="J81" s="1" t="s">
        <v>29</v>
      </c>
      <c r="K81" s="5">
        <v>300000</v>
      </c>
      <c r="L81" s="6">
        <v>43889</v>
      </c>
      <c r="M81" s="6">
        <v>44196</v>
      </c>
      <c r="N81" s="1" t="s">
        <v>1127</v>
      </c>
      <c r="O81" s="1" t="s">
        <v>1161</v>
      </c>
    </row>
    <row r="82" spans="1:15" x14ac:dyDescent="0.25">
      <c r="A82" s="4">
        <v>78</v>
      </c>
      <c r="B82" s="2" t="str">
        <f>HYPERLINK("https://my.zakupki.prom.ua/remote/dispatcher/state_purchase_view/15298361", "UA-2020-02-14-001745-c")</f>
        <v>UA-2020-02-14-001745-c</v>
      </c>
      <c r="C82" s="2" t="str">
        <f>HYPERLINK("https://my.zakupki.prom.ua/remote/dispatcher/state_contracting_view/3803632", "UA-2020-02-14-001745-c-c1")</f>
        <v>UA-2020-02-14-001745-c-c1</v>
      </c>
      <c r="D82" s="1" t="s">
        <v>828</v>
      </c>
      <c r="E82" s="1" t="s">
        <v>828</v>
      </c>
      <c r="F82" s="1" t="s">
        <v>667</v>
      </c>
      <c r="G82" s="1" t="s">
        <v>860</v>
      </c>
      <c r="H82" s="1" t="s">
        <v>0</v>
      </c>
      <c r="I82" s="1" t="s">
        <v>217</v>
      </c>
      <c r="J82" s="1" t="s">
        <v>749</v>
      </c>
      <c r="K82" s="5">
        <v>49834.8</v>
      </c>
      <c r="L82" s="6">
        <v>43874</v>
      </c>
      <c r="M82" s="6">
        <v>44196</v>
      </c>
      <c r="N82" s="1" t="s">
        <v>1127</v>
      </c>
      <c r="O82" s="1" t="s">
        <v>1161</v>
      </c>
    </row>
    <row r="83" spans="1:15" x14ac:dyDescent="0.25">
      <c r="A83" s="4">
        <v>79</v>
      </c>
      <c r="B83" s="2" t="str">
        <f>HYPERLINK("https://my.zakupki.prom.ua/remote/dispatcher/state_purchase_view/14466787", "UA-2020-01-14-000186-c")</f>
        <v>UA-2020-01-14-000186-c</v>
      </c>
      <c r="C83" s="2" t="str">
        <f>HYPERLINK("https://my.zakupki.prom.ua/remote/dispatcher/state_contracting_view/3627163", "UA-2020-01-14-000186-c-c1")</f>
        <v>UA-2020-01-14-000186-c-c1</v>
      </c>
      <c r="D83" s="1" t="s">
        <v>396</v>
      </c>
      <c r="E83" s="1" t="s">
        <v>397</v>
      </c>
      <c r="F83" s="1" t="s">
        <v>395</v>
      </c>
      <c r="G83" s="1" t="s">
        <v>860</v>
      </c>
      <c r="H83" s="1" t="s">
        <v>1015</v>
      </c>
      <c r="I83" s="1" t="s">
        <v>529</v>
      </c>
      <c r="J83" s="1" t="s">
        <v>420</v>
      </c>
      <c r="K83" s="5">
        <v>100000</v>
      </c>
      <c r="L83" s="6">
        <v>43843</v>
      </c>
      <c r="M83" s="6">
        <v>44196</v>
      </c>
      <c r="N83" s="1" t="s">
        <v>1127</v>
      </c>
      <c r="O83" s="1" t="s">
        <v>1161</v>
      </c>
    </row>
    <row r="84" spans="1:15" x14ac:dyDescent="0.25">
      <c r="A84" s="4">
        <v>80</v>
      </c>
      <c r="B84" s="2" t="str">
        <f>HYPERLINK("https://my.zakupki.prom.ua/remote/dispatcher/state_purchase_view/15614862", "UA-2020-03-04-002240-b")</f>
        <v>UA-2020-03-04-002240-b</v>
      </c>
      <c r="C84" s="2" t="str">
        <f>HYPERLINK("https://my.zakupki.prom.ua/remote/dispatcher/state_contracting_view/3894852", "UA-2020-03-04-002240-b-b1")</f>
        <v>UA-2020-03-04-002240-b-b1</v>
      </c>
      <c r="D84" s="1" t="s">
        <v>578</v>
      </c>
      <c r="E84" s="1" t="s">
        <v>578</v>
      </c>
      <c r="F84" s="1" t="s">
        <v>568</v>
      </c>
      <c r="G84" s="1" t="s">
        <v>860</v>
      </c>
      <c r="H84" s="1" t="s">
        <v>805</v>
      </c>
      <c r="I84" s="1" t="s">
        <v>176</v>
      </c>
      <c r="J84" s="1" t="s">
        <v>32</v>
      </c>
      <c r="K84" s="5">
        <v>120000</v>
      </c>
      <c r="L84" s="6">
        <v>43894</v>
      </c>
      <c r="M84" s="6">
        <v>44196</v>
      </c>
      <c r="N84" s="1" t="s">
        <v>1127</v>
      </c>
      <c r="O84" s="1" t="s">
        <v>1161</v>
      </c>
    </row>
    <row r="85" spans="1:15" x14ac:dyDescent="0.25">
      <c r="A85" s="4">
        <v>81</v>
      </c>
      <c r="B85" s="2" t="str">
        <f>HYPERLINK("https://my.zakupki.prom.ua/remote/dispatcher/state_purchase_view/19496593", "UA-2020-09-22-011258-b")</f>
        <v>UA-2020-09-22-011258-b</v>
      </c>
      <c r="C85" s="2" t="str">
        <f>HYPERLINK("https://my.zakupki.prom.ua/remote/dispatcher/state_contracting_view/5590947", "UA-2020-09-22-011258-b-b1")</f>
        <v>UA-2020-09-22-011258-b-b1</v>
      </c>
      <c r="D85" s="1" t="s">
        <v>885</v>
      </c>
      <c r="E85" s="1" t="s">
        <v>952</v>
      </c>
      <c r="F85" s="1" t="s">
        <v>586</v>
      </c>
      <c r="G85" s="1" t="s">
        <v>860</v>
      </c>
      <c r="H85" s="1" t="s">
        <v>811</v>
      </c>
      <c r="I85" s="1" t="s">
        <v>237</v>
      </c>
      <c r="J85" s="1" t="s">
        <v>274</v>
      </c>
      <c r="K85" s="5">
        <v>8716.49</v>
      </c>
      <c r="L85" s="6">
        <v>44096</v>
      </c>
      <c r="M85" s="6">
        <v>44196</v>
      </c>
      <c r="N85" s="1" t="s">
        <v>1127</v>
      </c>
      <c r="O85" s="1" t="s">
        <v>1161</v>
      </c>
    </row>
    <row r="86" spans="1:15" x14ac:dyDescent="0.25">
      <c r="A86" s="4">
        <v>82</v>
      </c>
      <c r="B86" s="2" t="str">
        <f>HYPERLINK("https://my.zakupki.prom.ua/remote/dispatcher/state_purchase_view/20543696", "UA-2020-10-28-003302-a")</f>
        <v>UA-2020-10-28-003302-a</v>
      </c>
      <c r="C86" s="2" t="str">
        <f>HYPERLINK("https://my.zakupki.prom.ua/remote/dispatcher/state_contracting_view/6091465", "UA-2020-10-28-003302-a-a1")</f>
        <v>UA-2020-10-28-003302-a-a1</v>
      </c>
      <c r="D86" s="1" t="s">
        <v>570</v>
      </c>
      <c r="E86" s="1" t="s">
        <v>764</v>
      </c>
      <c r="F86" s="1" t="s">
        <v>568</v>
      </c>
      <c r="G86" s="1" t="s">
        <v>860</v>
      </c>
      <c r="H86" s="1" t="s">
        <v>811</v>
      </c>
      <c r="I86" s="1" t="s">
        <v>237</v>
      </c>
      <c r="J86" s="1" t="s">
        <v>421</v>
      </c>
      <c r="K86" s="5">
        <v>49807.5</v>
      </c>
      <c r="L86" s="6">
        <v>44131</v>
      </c>
      <c r="M86" s="6">
        <v>44196</v>
      </c>
      <c r="N86" s="1" t="s">
        <v>1127</v>
      </c>
      <c r="O86" s="1" t="s">
        <v>1161</v>
      </c>
    </row>
    <row r="87" spans="1:15" x14ac:dyDescent="0.25">
      <c r="A87" s="4">
        <v>83</v>
      </c>
      <c r="B87" s="2" t="str">
        <f>HYPERLINK("https://my.zakupki.prom.ua/remote/dispatcher/state_purchase_view/20547275", "UA-2020-10-28-004307-a")</f>
        <v>UA-2020-10-28-004307-a</v>
      </c>
      <c r="C87" s="2" t="str">
        <f>HYPERLINK("https://my.zakupki.prom.ua/remote/dispatcher/state_contracting_view/6093673", "UA-2020-10-28-004307-a-a1")</f>
        <v>UA-2020-10-28-004307-a-a1</v>
      </c>
      <c r="D87" s="1" t="s">
        <v>1007</v>
      </c>
      <c r="E87" s="1" t="s">
        <v>1008</v>
      </c>
      <c r="F87" s="1" t="s">
        <v>697</v>
      </c>
      <c r="G87" s="1" t="s">
        <v>860</v>
      </c>
      <c r="H87" s="1" t="s">
        <v>929</v>
      </c>
      <c r="I87" s="1" t="s">
        <v>134</v>
      </c>
      <c r="J87" s="1" t="s">
        <v>995</v>
      </c>
      <c r="K87" s="5">
        <v>6985</v>
      </c>
      <c r="L87" s="6">
        <v>44131</v>
      </c>
      <c r="M87" s="6">
        <v>44161</v>
      </c>
      <c r="N87" s="1" t="s">
        <v>1127</v>
      </c>
      <c r="O87" s="1" t="s">
        <v>1161</v>
      </c>
    </row>
    <row r="88" spans="1:15" x14ac:dyDescent="0.25">
      <c r="A88" s="4">
        <v>84</v>
      </c>
      <c r="B88" s="2" t="str">
        <f>HYPERLINK("https://my.zakupki.prom.ua/remote/dispatcher/state_purchase_view/16297193", "UA-2020-04-15-004011-b")</f>
        <v>UA-2020-04-15-004011-b</v>
      </c>
      <c r="C88" s="2" t="str">
        <f>HYPERLINK("https://my.zakupki.prom.ua/remote/dispatcher/state_contracting_view/4121338", "UA-2020-04-15-004011-b-b1")</f>
        <v>UA-2020-04-15-004011-b-b1</v>
      </c>
      <c r="D88" s="1" t="s">
        <v>676</v>
      </c>
      <c r="E88" s="1" t="s">
        <v>675</v>
      </c>
      <c r="F88" s="1" t="s">
        <v>674</v>
      </c>
      <c r="G88" s="1" t="s">
        <v>860</v>
      </c>
      <c r="H88" s="1" t="s">
        <v>996</v>
      </c>
      <c r="I88" s="1" t="s">
        <v>231</v>
      </c>
      <c r="J88" s="1" t="s">
        <v>85</v>
      </c>
      <c r="K88" s="5">
        <v>35000</v>
      </c>
      <c r="L88" s="6">
        <v>43936</v>
      </c>
      <c r="M88" s="6">
        <v>44196</v>
      </c>
      <c r="N88" s="1" t="s">
        <v>1127</v>
      </c>
      <c r="O88" s="1" t="s">
        <v>1161</v>
      </c>
    </row>
    <row r="89" spans="1:15" x14ac:dyDescent="0.25">
      <c r="A89" s="4">
        <v>85</v>
      </c>
      <c r="B89" s="2" t="str">
        <f>HYPERLINK("https://my.zakupki.prom.ua/remote/dispatcher/state_purchase_view/17662994", "UA-2020-07-06-001345-a")</f>
        <v>UA-2020-07-06-001345-a</v>
      </c>
      <c r="C89" s="2" t="str">
        <f>HYPERLINK("https://my.zakupki.prom.ua/remote/dispatcher/state_contracting_view/4729128", "UA-2020-07-06-001345-a-a1")</f>
        <v>UA-2020-07-06-001345-a-a1</v>
      </c>
      <c r="D89" s="1" t="s">
        <v>878</v>
      </c>
      <c r="E89" s="1" t="s">
        <v>986</v>
      </c>
      <c r="F89" s="1" t="s">
        <v>488</v>
      </c>
      <c r="G89" s="1" t="s">
        <v>860</v>
      </c>
      <c r="H89" s="1" t="s">
        <v>866</v>
      </c>
      <c r="I89" s="1" t="s">
        <v>206</v>
      </c>
      <c r="J89" s="1" t="s">
        <v>174</v>
      </c>
      <c r="K89" s="5">
        <v>46872</v>
      </c>
      <c r="L89" s="6">
        <v>44015</v>
      </c>
      <c r="M89" s="6">
        <v>44196</v>
      </c>
      <c r="N89" s="1" t="s">
        <v>1127</v>
      </c>
      <c r="O89" s="1" t="s">
        <v>1161</v>
      </c>
    </row>
    <row r="90" spans="1:15" x14ac:dyDescent="0.25">
      <c r="A90" s="4">
        <v>86</v>
      </c>
      <c r="B90" s="2" t="str">
        <f>HYPERLINK("https://my.zakupki.prom.ua/remote/dispatcher/state_purchase_view/17625252", "UA-2020-07-02-010404-a")</f>
        <v>UA-2020-07-02-010404-a</v>
      </c>
      <c r="C90" s="2" t="str">
        <f>HYPERLINK("https://my.zakupki.prom.ua/remote/dispatcher/state_contracting_view/4711510", "UA-2020-07-02-010404-a-a1")</f>
        <v>UA-2020-07-02-010404-a-a1</v>
      </c>
      <c r="D90" s="1" t="s">
        <v>849</v>
      </c>
      <c r="E90" s="1" t="s">
        <v>897</v>
      </c>
      <c r="F90" s="1" t="s">
        <v>287</v>
      </c>
      <c r="G90" s="1" t="s">
        <v>860</v>
      </c>
      <c r="H90" s="1" t="s">
        <v>1064</v>
      </c>
      <c r="I90" s="1" t="s">
        <v>195</v>
      </c>
      <c r="J90" s="1" t="s">
        <v>166</v>
      </c>
      <c r="K90" s="5">
        <v>30509.82</v>
      </c>
      <c r="L90" s="6">
        <v>44012</v>
      </c>
      <c r="M90" s="6">
        <v>44196</v>
      </c>
      <c r="N90" s="1" t="s">
        <v>1127</v>
      </c>
      <c r="O90" s="1" t="s">
        <v>1161</v>
      </c>
    </row>
    <row r="91" spans="1:15" x14ac:dyDescent="0.25">
      <c r="A91" s="4">
        <v>87</v>
      </c>
      <c r="B91" s="2" t="str">
        <f>HYPERLINK("https://my.zakupki.prom.ua/remote/dispatcher/state_purchase_view/17202314", "UA-2020-06-12-002958-c")</f>
        <v>UA-2020-06-12-002958-c</v>
      </c>
      <c r="C91" s="2" t="str">
        <f>HYPERLINK("https://my.zakupki.prom.ua/remote/dispatcher/state_contracting_view/4515515", "UA-2020-06-12-002958-c-c1")</f>
        <v>UA-2020-06-12-002958-c-c1</v>
      </c>
      <c r="D91" s="1" t="s">
        <v>842</v>
      </c>
      <c r="E91" s="1" t="s">
        <v>896</v>
      </c>
      <c r="F91" s="1" t="s">
        <v>10</v>
      </c>
      <c r="G91" s="1" t="s">
        <v>860</v>
      </c>
      <c r="H91" s="1" t="s">
        <v>775</v>
      </c>
      <c r="I91" s="1" t="s">
        <v>190</v>
      </c>
      <c r="J91" s="1" t="s">
        <v>139</v>
      </c>
      <c r="K91" s="5">
        <v>46800</v>
      </c>
      <c r="L91" s="6">
        <v>43993</v>
      </c>
      <c r="M91" s="6">
        <v>44196</v>
      </c>
      <c r="N91" s="1" t="s">
        <v>1127</v>
      </c>
      <c r="O91" s="1" t="s">
        <v>1161</v>
      </c>
    </row>
    <row r="92" spans="1:15" x14ac:dyDescent="0.25">
      <c r="A92" s="4">
        <v>88</v>
      </c>
      <c r="B92" s="2" t="str">
        <f>HYPERLINK("https://my.zakupki.prom.ua/remote/dispatcher/state_purchase_view/17402085", "UA-2020-06-22-003566-c")</f>
        <v>UA-2020-06-22-003566-c</v>
      </c>
      <c r="C92" s="2" t="str">
        <f>HYPERLINK("https://my.zakupki.prom.ua/remote/dispatcher/state_contracting_view/4608031", "UA-2020-06-22-003566-c-c1")</f>
        <v>UA-2020-06-22-003566-c-c1</v>
      </c>
      <c r="D92" s="1" t="s">
        <v>951</v>
      </c>
      <c r="E92" s="1" t="s">
        <v>939</v>
      </c>
      <c r="F92" s="1" t="s">
        <v>716</v>
      </c>
      <c r="G92" s="1" t="s">
        <v>860</v>
      </c>
      <c r="H92" s="1" t="s">
        <v>252</v>
      </c>
      <c r="I92" s="1" t="s">
        <v>464</v>
      </c>
      <c r="J92" s="1" t="s">
        <v>691</v>
      </c>
      <c r="K92" s="5">
        <v>7683.11</v>
      </c>
      <c r="L92" s="6">
        <v>44000</v>
      </c>
      <c r="M92" s="6">
        <v>44196</v>
      </c>
      <c r="N92" s="1" t="s">
        <v>1127</v>
      </c>
      <c r="O92" s="1" t="s">
        <v>1161</v>
      </c>
    </row>
    <row r="93" spans="1:15" x14ac:dyDescent="0.25">
      <c r="A93" s="4">
        <v>89</v>
      </c>
      <c r="B93" s="2" t="str">
        <f>HYPERLINK("https://my.zakupki.prom.ua/remote/dispatcher/state_purchase_view/18055072", "UA-2020-07-22-007887-b")</f>
        <v>UA-2020-07-22-007887-b</v>
      </c>
      <c r="C93" s="2" t="str">
        <f>HYPERLINK("https://my.zakupki.prom.ua/remote/dispatcher/state_contracting_view/5292926", "UA-2020-07-22-007887-b-a2")</f>
        <v>UA-2020-07-22-007887-b-a2</v>
      </c>
      <c r="D93" s="1" t="s">
        <v>302</v>
      </c>
      <c r="E93" s="1" t="s">
        <v>1128</v>
      </c>
      <c r="F93" s="1" t="s">
        <v>301</v>
      </c>
      <c r="G93" s="1" t="s">
        <v>843</v>
      </c>
      <c r="H93" s="1" t="s">
        <v>1022</v>
      </c>
      <c r="I93" s="1" t="s">
        <v>560</v>
      </c>
      <c r="J93" s="1" t="s">
        <v>235</v>
      </c>
      <c r="K93" s="5">
        <v>80917.2</v>
      </c>
      <c r="L93" s="6">
        <v>44070</v>
      </c>
      <c r="M93" s="6">
        <v>44196</v>
      </c>
      <c r="N93" s="1" t="s">
        <v>1136</v>
      </c>
      <c r="O93" s="1" t="s">
        <v>1161</v>
      </c>
    </row>
    <row r="94" spans="1:15" x14ac:dyDescent="0.25">
      <c r="A94" s="4">
        <v>90</v>
      </c>
      <c r="B94" s="2" t="str">
        <f>HYPERLINK("https://my.zakupki.prom.ua/remote/dispatcher/state_purchase_view/18146067", "UA-2020-07-27-007767-c")</f>
        <v>UA-2020-07-27-007767-c</v>
      </c>
      <c r="C94" s="2" t="str">
        <f>HYPERLINK("https://my.zakupki.prom.ua/remote/dispatcher/state_contracting_view/5327684", "UA-2020-07-27-007767-c-a1")</f>
        <v>UA-2020-07-27-007767-c-a1</v>
      </c>
      <c r="D94" s="1" t="s">
        <v>884</v>
      </c>
      <c r="E94" s="1" t="s">
        <v>879</v>
      </c>
      <c r="F94" s="1" t="s">
        <v>568</v>
      </c>
      <c r="G94" s="1" t="s">
        <v>802</v>
      </c>
      <c r="H94" s="1" t="s">
        <v>1018</v>
      </c>
      <c r="I94" s="1" t="s">
        <v>357</v>
      </c>
      <c r="J94" s="1" t="s">
        <v>236</v>
      </c>
      <c r="K94" s="5">
        <v>186895.2</v>
      </c>
      <c r="L94" s="6">
        <v>44071</v>
      </c>
      <c r="M94" s="6">
        <v>44196</v>
      </c>
      <c r="N94" s="1" t="s">
        <v>1136</v>
      </c>
      <c r="O94" s="1" t="s">
        <v>1161</v>
      </c>
    </row>
    <row r="95" spans="1:15" x14ac:dyDescent="0.25">
      <c r="A95" s="4">
        <v>91</v>
      </c>
      <c r="B95" s="2" t="str">
        <f>HYPERLINK("https://my.zakupki.prom.ua/remote/dispatcher/state_purchase_view/17450374", "UA-2020-06-23-009776-a")</f>
        <v>UA-2020-06-23-009776-a</v>
      </c>
      <c r="C95" s="2" t="str">
        <f>HYPERLINK("https://my.zakupki.prom.ua/remote/dispatcher/state_contracting_view/5067922", "UA-2020-06-23-009776-a-b1")</f>
        <v>UA-2020-06-23-009776-a-b1</v>
      </c>
      <c r="D95" s="1" t="s">
        <v>791</v>
      </c>
      <c r="E95" s="1" t="s">
        <v>989</v>
      </c>
      <c r="F95" s="1" t="s">
        <v>617</v>
      </c>
      <c r="G95" s="1" t="s">
        <v>843</v>
      </c>
      <c r="H95" s="1" t="s">
        <v>919</v>
      </c>
      <c r="I95" s="1" t="s">
        <v>470</v>
      </c>
      <c r="J95" s="1" t="s">
        <v>224</v>
      </c>
      <c r="K95" s="5">
        <v>234998</v>
      </c>
      <c r="L95" s="6">
        <v>44050</v>
      </c>
      <c r="M95" s="6">
        <v>44196</v>
      </c>
      <c r="N95" s="1" t="s">
        <v>1136</v>
      </c>
      <c r="O95" s="1" t="s">
        <v>1161</v>
      </c>
    </row>
    <row r="96" spans="1:15" x14ac:dyDescent="0.25">
      <c r="A96" s="4">
        <v>92</v>
      </c>
      <c r="B96" s="2" t="str">
        <f>HYPERLINK("https://my.zakupki.prom.ua/remote/dispatcher/state_purchase_view/16772838", "UA-2020-05-20-005678-c")</f>
        <v>UA-2020-05-20-005678-c</v>
      </c>
      <c r="C96" s="2" t="str">
        <f>HYPERLINK("https://my.zakupki.prom.ua/remote/dispatcher/state_contracting_view/4687277", "UA-2020-05-20-005678-c-c1")</f>
        <v>UA-2020-05-20-005678-c-c1</v>
      </c>
      <c r="D96" s="1" t="s">
        <v>862</v>
      </c>
      <c r="E96" s="1" t="s">
        <v>990</v>
      </c>
      <c r="F96" s="1" t="s">
        <v>414</v>
      </c>
      <c r="G96" s="1" t="s">
        <v>802</v>
      </c>
      <c r="H96" s="1" t="s">
        <v>1024</v>
      </c>
      <c r="I96" s="1" t="s">
        <v>513</v>
      </c>
      <c r="J96" s="1" t="s">
        <v>159</v>
      </c>
      <c r="K96" s="5">
        <v>1978000</v>
      </c>
      <c r="L96" s="6">
        <v>44005</v>
      </c>
      <c r="M96" s="6">
        <v>44196</v>
      </c>
      <c r="N96" s="1" t="s">
        <v>1136</v>
      </c>
      <c r="O96" s="1" t="s">
        <v>1161</v>
      </c>
    </row>
    <row r="97" spans="1:15" x14ac:dyDescent="0.25">
      <c r="A97" s="4">
        <v>93</v>
      </c>
      <c r="B97" s="2" t="str">
        <f>HYPERLINK("https://my.zakupki.prom.ua/remote/dispatcher/state_purchase_view/21191306", "UA-2020-11-18-006586-c")</f>
        <v>UA-2020-11-18-006586-c</v>
      </c>
      <c r="C97" s="2" t="str">
        <f>HYPERLINK("https://my.zakupki.prom.ua/remote/dispatcher/state_contracting_view/6774697", "UA-2020-11-18-006586-c-b1")</f>
        <v>UA-2020-11-18-006586-c-b1</v>
      </c>
      <c r="D97" s="1" t="s">
        <v>588</v>
      </c>
      <c r="E97" s="1" t="s">
        <v>922</v>
      </c>
      <c r="F97" s="1" t="s">
        <v>587</v>
      </c>
      <c r="G97" s="1" t="s">
        <v>843</v>
      </c>
      <c r="H97" s="1" t="s">
        <v>1016</v>
      </c>
      <c r="I97" s="1" t="s">
        <v>453</v>
      </c>
      <c r="J97" s="1" t="s">
        <v>515</v>
      </c>
      <c r="K97" s="5">
        <v>148200</v>
      </c>
      <c r="L97" s="6">
        <v>44174</v>
      </c>
      <c r="M97" s="6">
        <v>44196</v>
      </c>
      <c r="N97" s="1" t="s">
        <v>1136</v>
      </c>
      <c r="O97" s="1" t="s">
        <v>1161</v>
      </c>
    </row>
    <row r="98" spans="1:15" x14ac:dyDescent="0.25">
      <c r="A98" s="4">
        <v>94</v>
      </c>
      <c r="B98" s="2" t="str">
        <f>HYPERLINK("https://my.zakupki.prom.ua/remote/dispatcher/state_purchase_view/20070139", "UA-2020-10-13-004816-b")</f>
        <v>UA-2020-10-13-004816-b</v>
      </c>
      <c r="C98" s="2" t="str">
        <f>HYPERLINK("https://my.zakupki.prom.ua/remote/dispatcher/state_contracting_view/6376657", "UA-2020-10-13-004816-b-c1")</f>
        <v>UA-2020-10-13-004816-b-c1</v>
      </c>
      <c r="D98" s="1" t="s">
        <v>590</v>
      </c>
      <c r="E98" s="1" t="s">
        <v>804</v>
      </c>
      <c r="F98" s="1" t="s">
        <v>593</v>
      </c>
      <c r="G98" s="1" t="s">
        <v>843</v>
      </c>
      <c r="H98" s="1" t="s">
        <v>762</v>
      </c>
      <c r="I98" s="1" t="s">
        <v>521</v>
      </c>
      <c r="J98" s="1" t="s">
        <v>455</v>
      </c>
      <c r="K98" s="5">
        <v>123395.28</v>
      </c>
      <c r="L98" s="6">
        <v>44152</v>
      </c>
      <c r="M98" s="6">
        <v>44196</v>
      </c>
      <c r="N98" s="1" t="s">
        <v>1136</v>
      </c>
      <c r="O98" s="1" t="s">
        <v>1161</v>
      </c>
    </row>
    <row r="99" spans="1:15" x14ac:dyDescent="0.25">
      <c r="A99" s="4">
        <v>95</v>
      </c>
      <c r="B99" s="2" t="str">
        <f>HYPERLINK("https://my.zakupki.prom.ua/remote/dispatcher/state_purchase_view/14414169", "UA-2020-01-09-001947-c")</f>
        <v>UA-2020-01-09-001947-c</v>
      </c>
      <c r="C99" s="2" t="str">
        <f>HYPERLINK("https://my.zakupki.prom.ua/remote/dispatcher/state_contracting_view/3654521", "UA-2020-01-09-001947-c-c1")</f>
        <v>UA-2020-01-09-001947-c-c1</v>
      </c>
      <c r="D99" s="1" t="s">
        <v>820</v>
      </c>
      <c r="E99" s="1" t="s">
        <v>821</v>
      </c>
      <c r="F99" s="1" t="s">
        <v>17</v>
      </c>
      <c r="G99" s="1" t="s">
        <v>940</v>
      </c>
      <c r="H99" s="1" t="s">
        <v>1048</v>
      </c>
      <c r="I99" s="1" t="s">
        <v>364</v>
      </c>
      <c r="J99" s="1" t="s">
        <v>1154</v>
      </c>
      <c r="K99" s="5">
        <v>1367400</v>
      </c>
      <c r="L99" s="6">
        <v>43851</v>
      </c>
      <c r="M99" s="6">
        <v>44196</v>
      </c>
      <c r="N99" s="1" t="s">
        <v>1136</v>
      </c>
      <c r="O99" s="1" t="s">
        <v>1161</v>
      </c>
    </row>
    <row r="100" spans="1:15" x14ac:dyDescent="0.25">
      <c r="A100" s="4">
        <v>96</v>
      </c>
      <c r="B100" s="2" t="str">
        <f>HYPERLINK("https://my.zakupki.prom.ua/remote/dispatcher/state_purchase_view/19065234", "UA-2020-09-07-007442-b")</f>
        <v>UA-2020-09-07-007442-b</v>
      </c>
      <c r="C100" s="2" t="str">
        <f>HYPERLINK("https://my.zakupki.prom.ua/remote/dispatcher/state_contracting_view/5907638", "UA-2020-09-07-007442-b-a2")</f>
        <v>UA-2020-09-07-007442-b-a2</v>
      </c>
      <c r="D100" s="1" t="s">
        <v>289</v>
      </c>
      <c r="E100" s="1" t="s">
        <v>888</v>
      </c>
      <c r="F100" s="1" t="s">
        <v>287</v>
      </c>
      <c r="G100" s="1" t="s">
        <v>802</v>
      </c>
      <c r="H100" s="1" t="s">
        <v>1110</v>
      </c>
      <c r="I100" s="1" t="s">
        <v>162</v>
      </c>
      <c r="J100" s="1" t="s">
        <v>362</v>
      </c>
      <c r="K100" s="5">
        <v>838200</v>
      </c>
      <c r="L100" s="6">
        <v>44117</v>
      </c>
      <c r="M100" s="6">
        <v>44286</v>
      </c>
      <c r="N100" s="1" t="s">
        <v>1136</v>
      </c>
      <c r="O100" s="1" t="s">
        <v>1161</v>
      </c>
    </row>
    <row r="101" spans="1:15" x14ac:dyDescent="0.25">
      <c r="A101" s="4">
        <v>97</v>
      </c>
      <c r="B101" s="2" t="str">
        <f>HYPERLINK("https://my.zakupki.prom.ua/remote/dispatcher/state_purchase_view/18793063", "UA-2020-08-26-004419-a")</f>
        <v>UA-2020-08-26-004419-a</v>
      </c>
      <c r="C101" s="2" t="str">
        <f>HYPERLINK("https://my.zakupki.prom.ua/remote/dispatcher/state_contracting_view/5258615", "UA-2020-08-26-004419-a-a1")</f>
        <v>UA-2020-08-26-004419-a-a1</v>
      </c>
      <c r="D101" s="1" t="s">
        <v>91</v>
      </c>
      <c r="E101" s="1" t="s">
        <v>857</v>
      </c>
      <c r="F101" s="1" t="s">
        <v>89</v>
      </c>
      <c r="G101" s="1" t="s">
        <v>860</v>
      </c>
      <c r="H101" s="1" t="s">
        <v>810</v>
      </c>
      <c r="I101" s="1" t="s">
        <v>180</v>
      </c>
      <c r="J101" s="1" t="s">
        <v>233</v>
      </c>
      <c r="K101" s="5">
        <v>18000</v>
      </c>
      <c r="L101" s="6">
        <v>44068</v>
      </c>
      <c r="M101" s="6">
        <v>44196</v>
      </c>
      <c r="N101" s="1" t="s">
        <v>1127</v>
      </c>
      <c r="O101" s="1" t="s">
        <v>1161</v>
      </c>
    </row>
    <row r="102" spans="1:15" x14ac:dyDescent="0.25">
      <c r="A102" s="4">
        <v>98</v>
      </c>
      <c r="B102" s="2" t="str">
        <f>HYPERLINK("https://my.zakupki.prom.ua/remote/dispatcher/state_purchase_view/17089015", "UA-2020-06-05-005782-b")</f>
        <v>UA-2020-06-05-005782-b</v>
      </c>
      <c r="C102" s="2" t="str">
        <f>HYPERLINK("https://my.zakupki.prom.ua/remote/dispatcher/state_contracting_view/4858268", "UA-2020-06-05-005782-b-a1")</f>
        <v>UA-2020-06-05-005782-b-a1</v>
      </c>
      <c r="D102" s="1" t="s">
        <v>600</v>
      </c>
      <c r="E102" s="1" t="s">
        <v>978</v>
      </c>
      <c r="F102" s="1" t="s">
        <v>599</v>
      </c>
      <c r="G102" s="1" t="s">
        <v>802</v>
      </c>
      <c r="H102" s="1" t="s">
        <v>845</v>
      </c>
      <c r="I102" s="1" t="s">
        <v>469</v>
      </c>
      <c r="J102" s="1" t="s">
        <v>207</v>
      </c>
      <c r="K102" s="5">
        <v>556743</v>
      </c>
      <c r="L102" s="6">
        <v>44027</v>
      </c>
      <c r="M102" s="6">
        <v>44179</v>
      </c>
      <c r="N102" s="1" t="s">
        <v>1136</v>
      </c>
      <c r="O102" s="1" t="s">
        <v>1161</v>
      </c>
    </row>
    <row r="103" spans="1:15" x14ac:dyDescent="0.25">
      <c r="A103" s="4">
        <v>99</v>
      </c>
      <c r="B103" s="2" t="str">
        <f>HYPERLINK("https://my.zakupki.prom.ua/remote/dispatcher/state_purchase_view/14402867", "UA-2020-01-09-000016-c")</f>
        <v>UA-2020-01-09-000016-c</v>
      </c>
      <c r="C103" s="2" t="str">
        <f>HYPERLINK("https://my.zakupki.prom.ua/remote/dispatcher/state_contracting_view/3616999", "UA-2020-01-09-000016-c-c1")</f>
        <v>UA-2020-01-09-000016-c-c1</v>
      </c>
      <c r="D103" s="1" t="s">
        <v>377</v>
      </c>
      <c r="E103" s="1" t="s">
        <v>378</v>
      </c>
      <c r="F103" s="1" t="s">
        <v>376</v>
      </c>
      <c r="G103" s="1" t="s">
        <v>860</v>
      </c>
      <c r="H103" s="1" t="s">
        <v>932</v>
      </c>
      <c r="I103" s="1" t="s">
        <v>138</v>
      </c>
      <c r="J103" s="1" t="s">
        <v>103</v>
      </c>
      <c r="K103" s="5">
        <v>30000</v>
      </c>
      <c r="L103" s="6">
        <v>43838</v>
      </c>
      <c r="M103" s="6">
        <v>44196</v>
      </c>
      <c r="N103" s="1" t="s">
        <v>1127</v>
      </c>
      <c r="O103" s="1" t="s">
        <v>1161</v>
      </c>
    </row>
    <row r="104" spans="1:15" x14ac:dyDescent="0.25">
      <c r="A104" s="4">
        <v>100</v>
      </c>
      <c r="B104" s="2" t="str">
        <f>HYPERLINK("https://my.zakupki.prom.ua/remote/dispatcher/state_purchase_view/16901591", "UA-2020-05-27-007092-b")</f>
        <v>UA-2020-05-27-007092-b</v>
      </c>
      <c r="C104" s="2" t="str">
        <f>HYPERLINK("https://my.zakupki.prom.ua/remote/dispatcher/state_contracting_view/4379450", "UA-2020-05-27-007092-b-b1")</f>
        <v>UA-2020-05-27-007092-b-b1</v>
      </c>
      <c r="D104" s="1" t="s">
        <v>937</v>
      </c>
      <c r="E104" s="1" t="s">
        <v>938</v>
      </c>
      <c r="F104" s="1" t="s">
        <v>658</v>
      </c>
      <c r="G104" s="1" t="s">
        <v>860</v>
      </c>
      <c r="H104" s="1" t="s">
        <v>1035</v>
      </c>
      <c r="I104" s="1" t="s">
        <v>482</v>
      </c>
      <c r="J104" s="1" t="s">
        <v>116</v>
      </c>
      <c r="K104" s="5">
        <v>4904</v>
      </c>
      <c r="L104" s="6">
        <v>43978</v>
      </c>
      <c r="M104" s="6">
        <v>44196</v>
      </c>
      <c r="N104" s="1" t="s">
        <v>1127</v>
      </c>
      <c r="O104" s="1" t="s">
        <v>1161</v>
      </c>
    </row>
    <row r="105" spans="1:15" x14ac:dyDescent="0.25">
      <c r="A105" s="4">
        <v>101</v>
      </c>
      <c r="B105" s="2" t="str">
        <f>HYPERLINK("https://my.zakupki.prom.ua/remote/dispatcher/state_purchase_view/17734752", "UA-2020-07-08-004785-c")</f>
        <v>UA-2020-07-08-004785-c</v>
      </c>
      <c r="C105" s="2" t="str">
        <f>HYPERLINK("https://my.zakupki.prom.ua/remote/dispatcher/state_contracting_view/4762389", "UA-2020-07-08-004785-c-c1")</f>
        <v>UA-2020-07-08-004785-c-c1</v>
      </c>
      <c r="D105" s="1" t="s">
        <v>945</v>
      </c>
      <c r="E105" s="1" t="s">
        <v>895</v>
      </c>
      <c r="F105" s="1" t="s">
        <v>584</v>
      </c>
      <c r="G105" s="1" t="s">
        <v>860</v>
      </c>
      <c r="H105" s="1" t="s">
        <v>1057</v>
      </c>
      <c r="I105" s="1" t="s">
        <v>5</v>
      </c>
      <c r="J105" s="1" t="s">
        <v>188</v>
      </c>
      <c r="K105" s="5">
        <v>23797.5</v>
      </c>
      <c r="L105" s="6">
        <v>44020</v>
      </c>
      <c r="M105" s="6">
        <v>44196</v>
      </c>
      <c r="N105" s="1" t="s">
        <v>1127</v>
      </c>
      <c r="O105" s="1" t="s">
        <v>1161</v>
      </c>
    </row>
    <row r="106" spans="1:15" x14ac:dyDescent="0.25">
      <c r="A106" s="4">
        <v>102</v>
      </c>
      <c r="B106" s="2" t="str">
        <f>HYPERLINK("https://my.zakupki.prom.ua/remote/dispatcher/state_purchase_view/14422764", "UA-2020-01-10-000991-c")</f>
        <v>UA-2020-01-10-000991-c</v>
      </c>
      <c r="C106" s="2" t="str">
        <f>HYPERLINK("https://my.zakupki.prom.ua/remote/dispatcher/state_contracting_view/3620574", "UA-2020-01-10-000991-c-c1")</f>
        <v>UA-2020-01-10-000991-c-c1</v>
      </c>
      <c r="D106" s="1" t="s">
        <v>621</v>
      </c>
      <c r="E106" s="1" t="s">
        <v>620</v>
      </c>
      <c r="F106" s="1" t="s">
        <v>617</v>
      </c>
      <c r="G106" s="1" t="s">
        <v>860</v>
      </c>
      <c r="H106" s="1" t="s">
        <v>780</v>
      </c>
      <c r="I106" s="1" t="s">
        <v>248</v>
      </c>
      <c r="J106" s="1" t="s">
        <v>344</v>
      </c>
      <c r="K106" s="5">
        <v>250000</v>
      </c>
      <c r="L106" s="6">
        <v>43840</v>
      </c>
      <c r="M106" s="6">
        <v>44196</v>
      </c>
      <c r="N106" s="1" t="s">
        <v>1127</v>
      </c>
      <c r="O106" s="1" t="s">
        <v>1161</v>
      </c>
    </row>
    <row r="107" spans="1:15" x14ac:dyDescent="0.25">
      <c r="A107" s="4">
        <v>103</v>
      </c>
      <c r="B107" s="2" t="str">
        <f>HYPERLINK("https://my.zakupki.prom.ua/remote/dispatcher/state_purchase_view/14893465", "UA-2020-01-28-002519-b")</f>
        <v>UA-2020-01-28-002519-b</v>
      </c>
      <c r="C107" s="2" t="str">
        <f>HYPERLINK("https://my.zakupki.prom.ua/remote/dispatcher/state_contracting_view/3705459", "UA-2020-01-28-002519-b-b1")</f>
        <v>UA-2020-01-28-002519-b-b1</v>
      </c>
      <c r="D107" s="1" t="s">
        <v>314</v>
      </c>
      <c r="E107" s="1" t="s">
        <v>315</v>
      </c>
      <c r="F107" s="1" t="s">
        <v>313</v>
      </c>
      <c r="G107" s="1" t="s">
        <v>860</v>
      </c>
      <c r="H107" s="1" t="s">
        <v>1086</v>
      </c>
      <c r="I107" s="1" t="s">
        <v>106</v>
      </c>
      <c r="J107" s="1" t="s">
        <v>700</v>
      </c>
      <c r="K107" s="5">
        <v>70000</v>
      </c>
      <c r="L107" s="6">
        <v>43858</v>
      </c>
      <c r="M107" s="6">
        <v>44196</v>
      </c>
      <c r="N107" s="1" t="s">
        <v>1127</v>
      </c>
      <c r="O107" s="1" t="s">
        <v>1161</v>
      </c>
    </row>
    <row r="108" spans="1:15" x14ac:dyDescent="0.25">
      <c r="A108" s="4">
        <v>104</v>
      </c>
      <c r="B108" s="2" t="str">
        <f>HYPERLINK("https://my.zakupki.prom.ua/remote/dispatcher/state_purchase_view/15418219", "UA-2020-02-21-001408-b")</f>
        <v>UA-2020-02-21-001408-b</v>
      </c>
      <c r="C108" s="2" t="str">
        <f>HYPERLINK("https://my.zakupki.prom.ua/remote/dispatcher/state_contracting_view/3836003", "UA-2020-02-21-001408-b-b1")</f>
        <v>UA-2020-02-21-001408-b-b1</v>
      </c>
      <c r="D108" s="1" t="s">
        <v>823</v>
      </c>
      <c r="E108" s="1" t="s">
        <v>823</v>
      </c>
      <c r="F108" s="1" t="s">
        <v>43</v>
      </c>
      <c r="G108" s="1" t="s">
        <v>860</v>
      </c>
      <c r="H108" s="1" t="s">
        <v>1039</v>
      </c>
      <c r="I108" s="1" t="s">
        <v>559</v>
      </c>
      <c r="J108" s="1" t="s">
        <v>23</v>
      </c>
      <c r="K108" s="5">
        <v>80000</v>
      </c>
      <c r="L108" s="6">
        <v>43882</v>
      </c>
      <c r="M108" s="6">
        <v>44196</v>
      </c>
      <c r="N108" s="1" t="s">
        <v>1127</v>
      </c>
      <c r="O108" s="1" t="s">
        <v>1161</v>
      </c>
    </row>
    <row r="109" spans="1:15" x14ac:dyDescent="0.25">
      <c r="A109" s="4">
        <v>105</v>
      </c>
      <c r="B109" s="2" t="str">
        <f>HYPERLINK("https://my.zakupki.prom.ua/remote/dispatcher/state_purchase_view/15788407", "UA-2020-03-16-003287-b")</f>
        <v>UA-2020-03-16-003287-b</v>
      </c>
      <c r="C109" s="2" t="str">
        <f>HYPERLINK("https://my.zakupki.prom.ua/remote/dispatcher/state_contracting_view/3945654", "UA-2020-03-16-003287-b-b1")</f>
        <v>UA-2020-03-16-003287-b-b1</v>
      </c>
      <c r="D109" s="1" t="s">
        <v>393</v>
      </c>
      <c r="E109" s="1" t="s">
        <v>393</v>
      </c>
      <c r="F109" s="1" t="s">
        <v>388</v>
      </c>
      <c r="G109" s="1" t="s">
        <v>860</v>
      </c>
      <c r="H109" s="1" t="s">
        <v>924</v>
      </c>
      <c r="I109" s="1" t="s">
        <v>133</v>
      </c>
      <c r="J109" s="1" t="s">
        <v>38</v>
      </c>
      <c r="K109" s="5">
        <v>80000</v>
      </c>
      <c r="L109" s="6">
        <v>43906</v>
      </c>
      <c r="M109" s="6">
        <v>44196</v>
      </c>
      <c r="N109" s="1" t="s">
        <v>1127</v>
      </c>
      <c r="O109" s="1" t="s">
        <v>1161</v>
      </c>
    </row>
    <row r="110" spans="1:15" x14ac:dyDescent="0.25">
      <c r="A110" s="4">
        <v>106</v>
      </c>
      <c r="B110" s="2" t="str">
        <f>HYPERLINK("https://my.zakupki.prom.ua/remote/dispatcher/state_purchase_view/20729813", "UA-2020-11-04-001500-c")</f>
        <v>UA-2020-11-04-001500-c</v>
      </c>
      <c r="C110" s="2" t="str">
        <f>HYPERLINK("https://my.zakupki.prom.ua/remote/dispatcher/state_contracting_view/6179386", "UA-2020-11-04-001500-c-c1")</f>
        <v>UA-2020-11-04-001500-c-c1</v>
      </c>
      <c r="D110" s="1" t="s">
        <v>164</v>
      </c>
      <c r="E110" s="1" t="s">
        <v>783</v>
      </c>
      <c r="F110" s="1" t="s">
        <v>164</v>
      </c>
      <c r="G110" s="1" t="s">
        <v>860</v>
      </c>
      <c r="H110" s="1" t="s">
        <v>912</v>
      </c>
      <c r="I110" s="1" t="s">
        <v>192</v>
      </c>
      <c r="J110" s="1" t="s">
        <v>439</v>
      </c>
      <c r="K110" s="5">
        <v>49619</v>
      </c>
      <c r="L110" s="6">
        <v>44138</v>
      </c>
      <c r="M110" s="6">
        <v>44196</v>
      </c>
      <c r="N110" s="1" t="s">
        <v>1127</v>
      </c>
      <c r="O110" s="1" t="s">
        <v>1161</v>
      </c>
    </row>
    <row r="111" spans="1:15" x14ac:dyDescent="0.25">
      <c r="A111" s="4">
        <v>107</v>
      </c>
      <c r="B111" s="2" t="str">
        <f>HYPERLINK("https://my.zakupki.prom.ua/remote/dispatcher/state_purchase_view/18451587", "UA-2020-08-11-003032-a")</f>
        <v>UA-2020-08-11-003032-a</v>
      </c>
      <c r="C111" s="2" t="str">
        <f>HYPERLINK("https://my.zakupki.prom.ua/remote/dispatcher/state_contracting_view/5096262", "UA-2020-08-11-003032-a-a1")</f>
        <v>UA-2020-08-11-003032-a-a1</v>
      </c>
      <c r="D111" s="1" t="s">
        <v>787</v>
      </c>
      <c r="E111" s="1" t="s">
        <v>890</v>
      </c>
      <c r="F111" s="1" t="s">
        <v>605</v>
      </c>
      <c r="G111" s="1" t="s">
        <v>860</v>
      </c>
      <c r="H111" s="1" t="s">
        <v>1057</v>
      </c>
      <c r="I111" s="1" t="s">
        <v>5</v>
      </c>
      <c r="J111" s="1" t="s">
        <v>225</v>
      </c>
      <c r="K111" s="5">
        <v>13287</v>
      </c>
      <c r="L111" s="6">
        <v>44053</v>
      </c>
      <c r="M111" s="6">
        <v>44196</v>
      </c>
      <c r="N111" s="1" t="s">
        <v>1127</v>
      </c>
      <c r="O111" s="1" t="s">
        <v>1161</v>
      </c>
    </row>
    <row r="112" spans="1:15" x14ac:dyDescent="0.25">
      <c r="A112" s="4">
        <v>108</v>
      </c>
      <c r="B112" s="2" t="str">
        <f>HYPERLINK("https://my.zakupki.prom.ua/remote/dispatcher/state_purchase_view/19117285", "UA-2020-09-09-001519-b")</f>
        <v>UA-2020-09-09-001519-b</v>
      </c>
      <c r="C112" s="2" t="str">
        <f>HYPERLINK("https://my.zakupki.prom.ua/remote/dispatcher/state_contracting_view/5411408", "UA-2020-09-09-001519-b-b1")</f>
        <v>UA-2020-09-09-001519-b-b1</v>
      </c>
      <c r="D112" s="1" t="s">
        <v>969</v>
      </c>
      <c r="E112" s="1" t="s">
        <v>1146</v>
      </c>
      <c r="F112" s="1" t="s">
        <v>708</v>
      </c>
      <c r="G112" s="1" t="s">
        <v>860</v>
      </c>
      <c r="H112" s="1" t="s">
        <v>765</v>
      </c>
      <c r="I112" s="1" t="s">
        <v>170</v>
      </c>
      <c r="J112" s="1" t="s">
        <v>1104</v>
      </c>
      <c r="K112" s="5">
        <v>3713.84</v>
      </c>
      <c r="L112" s="6">
        <v>44082</v>
      </c>
      <c r="M112" s="6">
        <v>44196</v>
      </c>
      <c r="N112" s="1" t="s">
        <v>1127</v>
      </c>
      <c r="O112" s="1" t="s">
        <v>1161</v>
      </c>
    </row>
    <row r="113" spans="1:15" x14ac:dyDescent="0.25">
      <c r="A113" s="4">
        <v>109</v>
      </c>
      <c r="B113" s="2" t="str">
        <f>HYPERLINK("https://my.zakupki.prom.ua/remote/dispatcher/state_purchase_view/17348488", "UA-2020-06-18-006623-c")</f>
        <v>UA-2020-06-18-006623-c</v>
      </c>
      <c r="C113" s="2" t="str">
        <f>HYPERLINK("https://my.zakupki.prom.ua/remote/dispatcher/state_contracting_view/4812781", "UA-2020-06-18-006623-c-a1")</f>
        <v>UA-2020-06-18-006623-c-a1</v>
      </c>
      <c r="D113" s="1" t="s">
        <v>758</v>
      </c>
      <c r="E113" s="1" t="s">
        <v>852</v>
      </c>
      <c r="F113" s="1" t="s">
        <v>555</v>
      </c>
      <c r="G113" s="1" t="s">
        <v>843</v>
      </c>
      <c r="H113" s="1" t="s">
        <v>1094</v>
      </c>
      <c r="I113" s="1" t="s">
        <v>506</v>
      </c>
      <c r="J113" s="1" t="s">
        <v>193</v>
      </c>
      <c r="K113" s="5">
        <v>65581.5</v>
      </c>
      <c r="L113" s="6">
        <v>44025</v>
      </c>
      <c r="M113" s="6">
        <v>44196</v>
      </c>
      <c r="N113" s="1" t="s">
        <v>1136</v>
      </c>
      <c r="O113" s="1" t="s">
        <v>1161</v>
      </c>
    </row>
    <row r="114" spans="1:15" x14ac:dyDescent="0.25">
      <c r="A114" s="4">
        <v>110</v>
      </c>
      <c r="B114" s="2" t="str">
        <f>HYPERLINK("https://my.zakupki.prom.ua/remote/dispatcher/state_purchase_view/19698845", "UA-2020-09-29-007763-a")</f>
        <v>UA-2020-09-29-007763-a</v>
      </c>
      <c r="C114" s="2" t="str">
        <f>HYPERLINK("https://my.zakupki.prom.ua/remote/dispatcher/state_contracting_view/6170023", "UA-2020-09-29-007763-a-a1")</f>
        <v>UA-2020-09-29-007763-a-a1</v>
      </c>
      <c r="D114" s="1" t="s">
        <v>604</v>
      </c>
      <c r="E114" s="1" t="s">
        <v>786</v>
      </c>
      <c r="F114" s="1" t="s">
        <v>605</v>
      </c>
      <c r="G114" s="1" t="s">
        <v>802</v>
      </c>
      <c r="H114" s="1" t="s">
        <v>901</v>
      </c>
      <c r="I114" s="1" t="s">
        <v>530</v>
      </c>
      <c r="J114" s="1" t="s">
        <v>436</v>
      </c>
      <c r="K114" s="5">
        <v>1048904.21</v>
      </c>
      <c r="L114" s="6">
        <v>44137</v>
      </c>
      <c r="M114" s="6">
        <v>44196</v>
      </c>
      <c r="N114" s="1" t="s">
        <v>1136</v>
      </c>
      <c r="O114" s="1" t="s">
        <v>1161</v>
      </c>
    </row>
    <row r="115" spans="1:15" x14ac:dyDescent="0.25">
      <c r="A115" s="4">
        <v>111</v>
      </c>
      <c r="B115" s="2" t="str">
        <f>HYPERLINK("https://my.zakupki.prom.ua/remote/dispatcher/state_purchase_view/21343987", "UA-2020-11-23-011110-c")</f>
        <v>UA-2020-11-23-011110-c</v>
      </c>
      <c r="C115" s="2" t="str">
        <f>HYPERLINK("https://my.zakupki.prom.ua/remote/dispatcher/state_contracting_view/6913393", "UA-2020-11-23-011110-c-c1")</f>
        <v>UA-2020-11-23-011110-c-c1</v>
      </c>
      <c r="D115" s="1" t="s">
        <v>709</v>
      </c>
      <c r="E115" s="1" t="s">
        <v>848</v>
      </c>
      <c r="F115" s="1" t="s">
        <v>708</v>
      </c>
      <c r="G115" s="1" t="s">
        <v>843</v>
      </c>
      <c r="H115" s="1" t="s">
        <v>1055</v>
      </c>
      <c r="I115" s="1" t="s">
        <v>526</v>
      </c>
      <c r="J115" s="1" t="s">
        <v>533</v>
      </c>
      <c r="K115" s="5">
        <v>88512</v>
      </c>
      <c r="L115" s="6">
        <v>44181</v>
      </c>
      <c r="M115" s="6">
        <v>44196</v>
      </c>
      <c r="N115" s="1" t="s">
        <v>1136</v>
      </c>
      <c r="O115" s="1" t="s">
        <v>1161</v>
      </c>
    </row>
    <row r="116" spans="1:15" x14ac:dyDescent="0.25">
      <c r="A116" s="4">
        <v>112</v>
      </c>
      <c r="B116" s="2" t="str">
        <f>HYPERLINK("https://my.zakupki.prom.ua/remote/dispatcher/state_purchase_view/20080843", "UA-2020-10-13-004554-c")</f>
        <v>UA-2020-10-13-004554-c</v>
      </c>
      <c r="C116" s="2" t="str">
        <f>HYPERLINK("https://my.zakupki.prom.ua/remote/dispatcher/state_contracting_view/6360901", "UA-2020-10-13-004554-c-c1")</f>
        <v>UA-2020-10-13-004554-c-c1</v>
      </c>
      <c r="D116" s="1" t="s">
        <v>402</v>
      </c>
      <c r="E116" s="1" t="s">
        <v>769</v>
      </c>
      <c r="F116" s="1" t="s">
        <v>401</v>
      </c>
      <c r="G116" s="1" t="s">
        <v>802</v>
      </c>
      <c r="H116" s="1" t="s">
        <v>1079</v>
      </c>
      <c r="I116" s="1" t="s">
        <v>367</v>
      </c>
      <c r="J116" s="1" t="s">
        <v>448</v>
      </c>
      <c r="K116" s="5">
        <v>813522</v>
      </c>
      <c r="L116" s="6">
        <v>44151</v>
      </c>
      <c r="M116" s="6">
        <v>44286</v>
      </c>
      <c r="N116" s="1" t="s">
        <v>1136</v>
      </c>
      <c r="O116" s="1" t="s">
        <v>1161</v>
      </c>
    </row>
    <row r="117" spans="1:15" x14ac:dyDescent="0.25">
      <c r="A117" s="4">
        <v>113</v>
      </c>
      <c r="B117" s="2" t="str">
        <f>HYPERLINK("https://my.zakupki.prom.ua/remote/dispatcher/state_purchase_view/16864089", "UA-2020-05-26-003480-b")</f>
        <v>UA-2020-05-26-003480-b</v>
      </c>
      <c r="C117" s="2" t="str">
        <f>HYPERLINK("https://my.zakupki.prom.ua/remote/dispatcher/state_contracting_view/4362793", "UA-2020-05-26-003480-b-b1")</f>
        <v>UA-2020-05-26-003480-b-b1</v>
      </c>
      <c r="D117" s="1" t="s">
        <v>771</v>
      </c>
      <c r="E117" s="1" t="s">
        <v>771</v>
      </c>
      <c r="F117" s="1" t="s">
        <v>98</v>
      </c>
      <c r="G117" s="1" t="s">
        <v>860</v>
      </c>
      <c r="H117" s="1" t="s">
        <v>1040</v>
      </c>
      <c r="I117" s="1" t="s">
        <v>474</v>
      </c>
      <c r="J117" s="1" t="s">
        <v>113</v>
      </c>
      <c r="K117" s="5">
        <v>14900</v>
      </c>
      <c r="L117" s="6">
        <v>43976</v>
      </c>
      <c r="M117" s="6">
        <v>44196</v>
      </c>
      <c r="N117" s="1" t="s">
        <v>1127</v>
      </c>
      <c r="O117" s="1" t="s">
        <v>1161</v>
      </c>
    </row>
    <row r="118" spans="1:15" x14ac:dyDescent="0.25">
      <c r="A118" s="4">
        <v>114</v>
      </c>
      <c r="B118" s="2" t="str">
        <f>HYPERLINK("https://my.zakupki.prom.ua/remote/dispatcher/state_purchase_view/19546948", "UA-2020-09-23-014156-b")</f>
        <v>UA-2020-09-23-014156-b</v>
      </c>
      <c r="C118" s="2" t="str">
        <f>HYPERLINK("https://my.zakupki.prom.ua/remote/dispatcher/state_contracting_view/6057246", "UA-2020-09-23-014156-b-b1")</f>
        <v>UA-2020-09-23-014156-b-b1</v>
      </c>
      <c r="D118" s="1" t="s">
        <v>327</v>
      </c>
      <c r="E118" s="1" t="s">
        <v>943</v>
      </c>
      <c r="F118" s="1" t="s">
        <v>326</v>
      </c>
      <c r="G118" s="1" t="s">
        <v>843</v>
      </c>
      <c r="H118" s="1" t="s">
        <v>925</v>
      </c>
      <c r="I118" s="1" t="s">
        <v>264</v>
      </c>
      <c r="J118" s="1" t="s">
        <v>381</v>
      </c>
      <c r="K118" s="5">
        <v>87937.74</v>
      </c>
      <c r="L118" s="6">
        <v>44127</v>
      </c>
      <c r="M118" s="6">
        <v>44196</v>
      </c>
      <c r="N118" s="1" t="s">
        <v>1136</v>
      </c>
      <c r="O118" s="1" t="s">
        <v>1161</v>
      </c>
    </row>
    <row r="119" spans="1:15" x14ac:dyDescent="0.25">
      <c r="A119" s="4">
        <v>115</v>
      </c>
      <c r="B119" s="2" t="str">
        <f>HYPERLINK("https://my.zakupki.prom.ua/remote/dispatcher/state_purchase_view/17405691", "UA-2020-06-22-004544-c")</f>
        <v>UA-2020-06-22-004544-c</v>
      </c>
      <c r="C119" s="2" t="str">
        <f>HYPERLINK("https://my.zakupki.prom.ua/remote/dispatcher/state_contracting_view/4609172", "UA-2020-06-22-004544-c-c1")</f>
        <v>UA-2020-06-22-004544-c-c1</v>
      </c>
      <c r="D119" s="1" t="s">
        <v>904</v>
      </c>
      <c r="E119" s="1" t="s">
        <v>902</v>
      </c>
      <c r="F119" s="1" t="s">
        <v>558</v>
      </c>
      <c r="G119" s="1" t="s">
        <v>860</v>
      </c>
      <c r="H119" s="1" t="s">
        <v>789</v>
      </c>
      <c r="I119" s="1" t="s">
        <v>95</v>
      </c>
      <c r="J119" s="1" t="s">
        <v>153</v>
      </c>
      <c r="K119" s="5">
        <v>37964</v>
      </c>
      <c r="L119" s="6">
        <v>44001</v>
      </c>
      <c r="M119" s="6">
        <v>44196</v>
      </c>
      <c r="N119" s="1" t="s">
        <v>1127</v>
      </c>
      <c r="O119" s="1" t="s">
        <v>1161</v>
      </c>
    </row>
    <row r="120" spans="1:15" x14ac:dyDescent="0.25">
      <c r="A120" s="4">
        <v>116</v>
      </c>
      <c r="B120" s="2" t="str">
        <f>HYPERLINK("https://my.zakupki.prom.ua/remote/dispatcher/state_purchase_view/16013032", "UA-2020-03-28-000017-b")</f>
        <v>UA-2020-03-28-000017-b</v>
      </c>
      <c r="C120" s="2" t="str">
        <f>HYPERLINK("https://my.zakupki.prom.ua/remote/dispatcher/state_contracting_view/4019582", "UA-2020-03-28-000017-b-b1")</f>
        <v>UA-2020-03-28-000017-b-b1</v>
      </c>
      <c r="D120" s="1" t="s">
        <v>666</v>
      </c>
      <c r="E120" s="1" t="s">
        <v>666</v>
      </c>
      <c r="F120" s="1" t="s">
        <v>665</v>
      </c>
      <c r="G120" s="1" t="s">
        <v>860</v>
      </c>
      <c r="H120" s="1" t="s">
        <v>1060</v>
      </c>
      <c r="I120" s="1" t="s">
        <v>458</v>
      </c>
      <c r="J120" s="1" t="s">
        <v>65</v>
      </c>
      <c r="K120" s="5">
        <v>80000</v>
      </c>
      <c r="L120" s="6">
        <v>43917</v>
      </c>
      <c r="M120" s="6">
        <v>44196</v>
      </c>
      <c r="N120" s="1" t="s">
        <v>1127</v>
      </c>
      <c r="O120" s="1" t="s">
        <v>1161</v>
      </c>
    </row>
    <row r="121" spans="1:15" x14ac:dyDescent="0.25">
      <c r="A121" s="4">
        <v>117</v>
      </c>
      <c r="B121" s="2" t="str">
        <f>HYPERLINK("https://my.zakupki.prom.ua/remote/dispatcher/state_purchase_view/15962202", "UA-2020-03-25-002930-b")</f>
        <v>UA-2020-03-25-002930-b</v>
      </c>
      <c r="C121" s="2" t="str">
        <f>HYPERLINK("https://my.zakupki.prom.ua/remote/dispatcher/state_contracting_view/4002256", "UA-2020-03-25-002930-b-b1")</f>
        <v>UA-2020-03-25-002930-b-b1</v>
      </c>
      <c r="D121" s="1" t="s">
        <v>111</v>
      </c>
      <c r="E121" s="1" t="s">
        <v>111</v>
      </c>
      <c r="F121" s="1" t="s">
        <v>108</v>
      </c>
      <c r="G121" s="1" t="s">
        <v>860</v>
      </c>
      <c r="H121" s="1" t="s">
        <v>873</v>
      </c>
      <c r="I121" s="1" t="s">
        <v>142</v>
      </c>
      <c r="J121" s="1" t="s">
        <v>53</v>
      </c>
      <c r="K121" s="5">
        <v>100000</v>
      </c>
      <c r="L121" s="6">
        <v>43915</v>
      </c>
      <c r="M121" s="6">
        <v>44196</v>
      </c>
      <c r="N121" s="1" t="s">
        <v>1127</v>
      </c>
      <c r="O121" s="1" t="s">
        <v>1161</v>
      </c>
    </row>
    <row r="122" spans="1:15" x14ac:dyDescent="0.25">
      <c r="A122" s="4">
        <v>118</v>
      </c>
      <c r="B122" s="2" t="str">
        <f>HYPERLINK("https://my.zakupki.prom.ua/remote/dispatcher/state_purchase_view/15963218", "UA-2020-03-25-003159-b")</f>
        <v>UA-2020-03-25-003159-b</v>
      </c>
      <c r="C122" s="2" t="str">
        <f>HYPERLINK("https://my.zakupki.prom.ua/remote/dispatcher/state_contracting_view/4002748", "UA-2020-03-25-003159-b-b1")</f>
        <v>UA-2020-03-25-003159-b-b1</v>
      </c>
      <c r="D122" s="1" t="s">
        <v>619</v>
      </c>
      <c r="E122" s="1" t="s">
        <v>618</v>
      </c>
      <c r="F122" s="1" t="s">
        <v>617</v>
      </c>
      <c r="G122" s="1" t="s">
        <v>860</v>
      </c>
      <c r="H122" s="1" t="s">
        <v>780</v>
      </c>
      <c r="I122" s="1" t="s">
        <v>248</v>
      </c>
      <c r="J122" s="1" t="s">
        <v>61</v>
      </c>
      <c r="K122" s="5">
        <v>250000</v>
      </c>
      <c r="L122" s="6">
        <v>43915</v>
      </c>
      <c r="M122" s="6">
        <v>44196</v>
      </c>
      <c r="N122" s="1" t="s">
        <v>1127</v>
      </c>
      <c r="O122" s="1" t="s">
        <v>1161</v>
      </c>
    </row>
    <row r="123" spans="1:15" x14ac:dyDescent="0.25">
      <c r="A123" s="4">
        <v>119</v>
      </c>
      <c r="B123" s="2" t="str">
        <f>HYPERLINK("https://my.zakupki.prom.ua/remote/dispatcher/state_purchase_view/15984650", "UA-2020-03-26-003652-b")</f>
        <v>UA-2020-03-26-003652-b</v>
      </c>
      <c r="C123" s="2" t="str">
        <f>HYPERLINK("https://my.zakupki.prom.ua/remote/dispatcher/state_contracting_view/4009858", "UA-2020-03-26-003652-b-b1")</f>
        <v>UA-2020-03-26-003652-b-b1</v>
      </c>
      <c r="D123" s="1" t="s">
        <v>120</v>
      </c>
      <c r="E123" s="1" t="s">
        <v>120</v>
      </c>
      <c r="F123" s="1" t="s">
        <v>117</v>
      </c>
      <c r="G123" s="1" t="s">
        <v>860</v>
      </c>
      <c r="H123" s="1" t="s">
        <v>871</v>
      </c>
      <c r="I123" s="1" t="s">
        <v>8</v>
      </c>
      <c r="J123" s="1" t="s">
        <v>62</v>
      </c>
      <c r="K123" s="5">
        <v>80000</v>
      </c>
      <c r="L123" s="6">
        <v>43916</v>
      </c>
      <c r="M123" s="6">
        <v>44196</v>
      </c>
      <c r="N123" s="1" t="s">
        <v>1127</v>
      </c>
      <c r="O123" s="1" t="s">
        <v>1161</v>
      </c>
    </row>
    <row r="124" spans="1:15" x14ac:dyDescent="0.25">
      <c r="A124" s="4">
        <v>120</v>
      </c>
      <c r="B124" s="2" t="str">
        <f>HYPERLINK("https://my.zakupki.prom.ua/remote/dispatcher/state_purchase_view/16305213", "UA-2020-04-15-006649-b")</f>
        <v>UA-2020-04-15-006649-b</v>
      </c>
      <c r="C124" s="2" t="str">
        <f>HYPERLINK("https://my.zakupki.prom.ua/remote/dispatcher/state_contracting_view/4125317", "UA-2020-04-15-006649-b-b1")</f>
        <v>UA-2020-04-15-006649-b-b1</v>
      </c>
      <c r="D124" s="1" t="s">
        <v>643</v>
      </c>
      <c r="E124" s="1" t="s">
        <v>643</v>
      </c>
      <c r="F124" s="1" t="s">
        <v>641</v>
      </c>
      <c r="G124" s="1" t="s">
        <v>860</v>
      </c>
      <c r="H124" s="1" t="s">
        <v>805</v>
      </c>
      <c r="I124" s="1" t="s">
        <v>176</v>
      </c>
      <c r="J124" s="1" t="s">
        <v>94</v>
      </c>
      <c r="K124" s="5">
        <v>100000</v>
      </c>
      <c r="L124" s="6">
        <v>43936</v>
      </c>
      <c r="M124" s="6">
        <v>44196</v>
      </c>
      <c r="N124" s="1" t="s">
        <v>1127</v>
      </c>
      <c r="O124" s="1" t="s">
        <v>1161</v>
      </c>
    </row>
    <row r="125" spans="1:15" x14ac:dyDescent="0.25">
      <c r="A125" s="4">
        <v>121</v>
      </c>
      <c r="B125" s="2" t="str">
        <f>HYPERLINK("https://my.zakupki.prom.ua/remote/dispatcher/state_purchase_view/16218955", "UA-2020-04-10-003502-b")</f>
        <v>UA-2020-04-10-003502-b</v>
      </c>
      <c r="C125" s="2" t="str">
        <f>HYPERLINK("https://my.zakupki.prom.ua/remote/dispatcher/state_contracting_view/4091548", "UA-2020-04-10-003502-b-b1")</f>
        <v>UA-2020-04-10-003502-b-b1</v>
      </c>
      <c r="D125" s="1" t="s">
        <v>642</v>
      </c>
      <c r="E125" s="1" t="s">
        <v>642</v>
      </c>
      <c r="F125" s="1" t="s">
        <v>641</v>
      </c>
      <c r="G125" s="1" t="s">
        <v>860</v>
      </c>
      <c r="H125" s="1" t="s">
        <v>920</v>
      </c>
      <c r="I125" s="1" t="s">
        <v>209</v>
      </c>
      <c r="J125" s="1" t="s">
        <v>80</v>
      </c>
      <c r="K125" s="5">
        <v>100000</v>
      </c>
      <c r="L125" s="6">
        <v>43931</v>
      </c>
      <c r="M125" s="6">
        <v>44196</v>
      </c>
      <c r="N125" s="1" t="s">
        <v>1127</v>
      </c>
      <c r="O125" s="1" t="s">
        <v>1161</v>
      </c>
    </row>
    <row r="126" spans="1:15" x14ac:dyDescent="0.25">
      <c r="A126" s="4">
        <v>122</v>
      </c>
      <c r="B126" s="2" t="str">
        <f>HYPERLINK("https://my.zakupki.prom.ua/remote/dispatcher/state_purchase_view/16274587", "UA-2020-04-14-004467-b")</f>
        <v>UA-2020-04-14-004467-b</v>
      </c>
      <c r="C126" s="2" t="str">
        <f>HYPERLINK("https://my.zakupki.prom.ua/remote/dispatcher/state_contracting_view/4110880", "UA-2020-04-14-004467-b-b1")</f>
        <v>UA-2020-04-14-004467-b-b1</v>
      </c>
      <c r="D126" s="1" t="s">
        <v>582</v>
      </c>
      <c r="E126" s="1" t="s">
        <v>573</v>
      </c>
      <c r="F126" s="1" t="s">
        <v>568</v>
      </c>
      <c r="G126" s="1" t="s">
        <v>860</v>
      </c>
      <c r="H126" s="1" t="s">
        <v>754</v>
      </c>
      <c r="I126" s="1" t="s">
        <v>126</v>
      </c>
      <c r="J126" s="1" t="s">
        <v>83</v>
      </c>
      <c r="K126" s="5">
        <v>100000</v>
      </c>
      <c r="L126" s="6">
        <v>43935</v>
      </c>
      <c r="M126" s="6">
        <v>44196</v>
      </c>
      <c r="N126" s="1" t="s">
        <v>1127</v>
      </c>
      <c r="O126" s="1" t="s">
        <v>1161</v>
      </c>
    </row>
    <row r="127" spans="1:15" x14ac:dyDescent="0.25">
      <c r="A127" s="4">
        <v>123</v>
      </c>
      <c r="B127" s="2" t="str">
        <f>HYPERLINK("https://my.zakupki.prom.ua/remote/dispatcher/state_purchase_view/15208739", "UA-2020-02-11-000482-b")</f>
        <v>UA-2020-02-11-000482-b</v>
      </c>
      <c r="C127" s="2" t="str">
        <f>HYPERLINK("https://my.zakupki.prom.ua/remote/dispatcher/state_contracting_view/3779459", "UA-2020-02-11-000482-b-b1")</f>
        <v>UA-2020-02-11-000482-b-b1</v>
      </c>
      <c r="D127" s="1" t="s">
        <v>825</v>
      </c>
      <c r="E127" s="1" t="s">
        <v>825</v>
      </c>
      <c r="F127" s="1" t="s">
        <v>322</v>
      </c>
      <c r="G127" s="1" t="s">
        <v>860</v>
      </c>
      <c r="H127" s="1" t="s">
        <v>1075</v>
      </c>
      <c r="I127" s="1" t="s">
        <v>196</v>
      </c>
      <c r="J127" s="1" t="s">
        <v>748</v>
      </c>
      <c r="K127" s="5">
        <v>75000</v>
      </c>
      <c r="L127" s="6">
        <v>43871</v>
      </c>
      <c r="M127" s="6">
        <v>44196</v>
      </c>
      <c r="N127" s="1" t="s">
        <v>1127</v>
      </c>
      <c r="O127" s="1" t="s">
        <v>1161</v>
      </c>
    </row>
    <row r="128" spans="1:15" x14ac:dyDescent="0.25">
      <c r="A128" s="4">
        <v>124</v>
      </c>
      <c r="B128" s="2" t="str">
        <f>HYPERLINK("https://my.zakupki.prom.ua/remote/dispatcher/state_purchase_view/15413503", "UA-2020-02-21-000707-b")</f>
        <v>UA-2020-02-21-000707-b</v>
      </c>
      <c r="C128" s="2" t="str">
        <f>HYPERLINK("https://my.zakupki.prom.ua/remote/dispatcher/state_contracting_view/3834722", "UA-2020-02-21-000707-b-b1")</f>
        <v>UA-2020-02-21-000707-b-b1</v>
      </c>
      <c r="D128" s="1" t="s">
        <v>834</v>
      </c>
      <c r="E128" s="1" t="s">
        <v>834</v>
      </c>
      <c r="F128" s="1" t="s">
        <v>358</v>
      </c>
      <c r="G128" s="1" t="s">
        <v>860</v>
      </c>
      <c r="H128" s="1" t="s">
        <v>1088</v>
      </c>
      <c r="I128" s="1" t="s">
        <v>45</v>
      </c>
      <c r="J128" s="1" t="s">
        <v>25</v>
      </c>
      <c r="K128" s="5">
        <v>3510</v>
      </c>
      <c r="L128" s="6">
        <v>43882</v>
      </c>
      <c r="M128" s="6">
        <v>44196</v>
      </c>
      <c r="N128" s="1" t="s">
        <v>1127</v>
      </c>
      <c r="O128" s="1" t="s">
        <v>1161</v>
      </c>
    </row>
    <row r="129" spans="1:15" x14ac:dyDescent="0.25">
      <c r="A129" s="4">
        <v>125</v>
      </c>
      <c r="B129" s="2" t="str">
        <f>HYPERLINK("https://my.zakupki.prom.ua/remote/dispatcher/state_purchase_view/19413567", "UA-2020-09-18-004862-b")</f>
        <v>UA-2020-09-18-004862-b</v>
      </c>
      <c r="C129" s="2" t="str">
        <f>HYPERLINK("https://my.zakupki.prom.ua/remote/dispatcher/state_contracting_view/5552123", "UA-2020-09-18-004862-b-b1")</f>
        <v>UA-2020-09-18-004862-b-b1</v>
      </c>
      <c r="D129" s="1" t="s">
        <v>93</v>
      </c>
      <c r="E129" s="1" t="s">
        <v>992</v>
      </c>
      <c r="F129" s="1" t="s">
        <v>92</v>
      </c>
      <c r="G129" s="1" t="s">
        <v>860</v>
      </c>
      <c r="H129" s="1" t="s">
        <v>1040</v>
      </c>
      <c r="I129" s="1" t="s">
        <v>474</v>
      </c>
      <c r="J129" s="1" t="s">
        <v>266</v>
      </c>
      <c r="K129" s="5">
        <v>49330</v>
      </c>
      <c r="L129" s="6">
        <v>44092</v>
      </c>
      <c r="M129" s="6">
        <v>44196</v>
      </c>
      <c r="N129" s="1" t="s">
        <v>1127</v>
      </c>
      <c r="O129" s="1" t="s">
        <v>1161</v>
      </c>
    </row>
    <row r="130" spans="1:15" x14ac:dyDescent="0.25">
      <c r="A130" s="4">
        <v>126</v>
      </c>
      <c r="B130" s="2" t="str">
        <f>HYPERLINK("https://my.zakupki.prom.ua/remote/dispatcher/state_purchase_view/16862466", "UA-2020-05-26-002925-b")</f>
        <v>UA-2020-05-26-002925-b</v>
      </c>
      <c r="C130" s="2" t="str">
        <f>HYPERLINK("https://my.zakupki.prom.ua/remote/dispatcher/state_contracting_view/4361052", "UA-2020-05-26-002925-b-b1")</f>
        <v>UA-2020-05-26-002925-b-b1</v>
      </c>
      <c r="D130" s="1" t="s">
        <v>963</v>
      </c>
      <c r="E130" s="1" t="s">
        <v>963</v>
      </c>
      <c r="F130" s="1" t="s">
        <v>677</v>
      </c>
      <c r="G130" s="1" t="s">
        <v>860</v>
      </c>
      <c r="H130" s="1" t="s">
        <v>1118</v>
      </c>
      <c r="I130" s="1" t="s">
        <v>250</v>
      </c>
      <c r="J130" s="1" t="s">
        <v>107</v>
      </c>
      <c r="K130" s="5">
        <v>20000</v>
      </c>
      <c r="L130" s="6">
        <v>43976</v>
      </c>
      <c r="M130" s="6">
        <v>44196</v>
      </c>
      <c r="N130" s="1" t="s">
        <v>1127</v>
      </c>
      <c r="O130" s="1" t="s">
        <v>1161</v>
      </c>
    </row>
    <row r="131" spans="1:15" x14ac:dyDescent="0.25">
      <c r="A131" s="4">
        <v>127</v>
      </c>
      <c r="B131" s="2" t="str">
        <f>HYPERLINK("https://my.zakupki.prom.ua/remote/dispatcher/state_purchase_view/19045515", "UA-2020-09-07-002104-b")</f>
        <v>UA-2020-09-07-002104-b</v>
      </c>
      <c r="C131" s="2" t="str">
        <f>HYPERLINK("https://my.zakupki.prom.ua/remote/dispatcher/state_contracting_view/5373948", "UA-2020-09-07-002104-b-b1")</f>
        <v>UA-2020-09-07-002104-b-b1</v>
      </c>
      <c r="D131" s="1" t="s">
        <v>808</v>
      </c>
      <c r="E131" s="1" t="s">
        <v>858</v>
      </c>
      <c r="F131" s="1" t="s">
        <v>151</v>
      </c>
      <c r="G131" s="1" t="s">
        <v>860</v>
      </c>
      <c r="H131" s="1" t="s">
        <v>1070</v>
      </c>
      <c r="I131" s="1" t="s">
        <v>437</v>
      </c>
      <c r="J131" s="1" t="s">
        <v>1</v>
      </c>
      <c r="K131" s="5">
        <v>1840</v>
      </c>
      <c r="L131" s="6">
        <v>44078</v>
      </c>
      <c r="M131" s="6">
        <v>44196</v>
      </c>
      <c r="N131" s="1" t="s">
        <v>1127</v>
      </c>
      <c r="O131" s="1" t="s">
        <v>1161</v>
      </c>
    </row>
    <row r="132" spans="1:15" x14ac:dyDescent="0.25">
      <c r="A132" s="4">
        <v>128</v>
      </c>
      <c r="B132" s="2" t="str">
        <f>HYPERLINK("https://my.zakupki.prom.ua/remote/dispatcher/state_purchase_view/17708469", "UA-2020-07-07-003376-c")</f>
        <v>UA-2020-07-07-003376-c</v>
      </c>
      <c r="C132" s="2" t="str">
        <f>HYPERLINK("https://my.zakupki.prom.ua/remote/dispatcher/state_contracting_view/4749556", "UA-2020-07-07-003376-c-c1")</f>
        <v>UA-2020-07-07-003376-c-c1</v>
      </c>
      <c r="D132" s="1" t="s">
        <v>959</v>
      </c>
      <c r="E132" s="1" t="s">
        <v>960</v>
      </c>
      <c r="F132" s="1" t="s">
        <v>744</v>
      </c>
      <c r="G132" s="1" t="s">
        <v>860</v>
      </c>
      <c r="H132" s="1" t="s">
        <v>1117</v>
      </c>
      <c r="I132" s="1" t="s">
        <v>13</v>
      </c>
      <c r="J132" s="1" t="s">
        <v>175</v>
      </c>
      <c r="K132" s="5">
        <v>2859</v>
      </c>
      <c r="L132" s="6">
        <v>44015</v>
      </c>
      <c r="M132" s="6">
        <v>44104</v>
      </c>
      <c r="N132" s="1" t="s">
        <v>1127</v>
      </c>
      <c r="O132" s="1" t="s">
        <v>1161</v>
      </c>
    </row>
    <row r="133" spans="1:15" x14ac:dyDescent="0.25">
      <c r="A133" s="4">
        <v>129</v>
      </c>
      <c r="B133" s="2" t="str">
        <f>HYPERLINK("https://my.zakupki.prom.ua/remote/dispatcher/state_purchase_view/17873825", "UA-2020-07-14-008022-c")</f>
        <v>UA-2020-07-14-008022-c</v>
      </c>
      <c r="C133" s="2" t="str">
        <f>HYPERLINK("https://my.zakupki.prom.ua/remote/dispatcher/state_contracting_view/4827074", "UA-2020-07-14-008022-c-c1")</f>
        <v>UA-2020-07-14-008022-c-c1</v>
      </c>
      <c r="D133" s="1" t="s">
        <v>980</v>
      </c>
      <c r="E133" s="1" t="s">
        <v>979</v>
      </c>
      <c r="F133" s="1" t="s">
        <v>693</v>
      </c>
      <c r="G133" s="1" t="s">
        <v>860</v>
      </c>
      <c r="H133" s="1" t="s">
        <v>1028</v>
      </c>
      <c r="I133" s="1" t="s">
        <v>4</v>
      </c>
      <c r="J133" s="1" t="s">
        <v>202</v>
      </c>
      <c r="K133" s="5">
        <v>49900</v>
      </c>
      <c r="L133" s="6">
        <v>44025</v>
      </c>
      <c r="M133" s="6">
        <v>44196</v>
      </c>
      <c r="N133" s="1" t="s">
        <v>1127</v>
      </c>
      <c r="O133" s="1" t="s">
        <v>1161</v>
      </c>
    </row>
    <row r="134" spans="1:15" x14ac:dyDescent="0.25">
      <c r="A134" s="4">
        <v>130</v>
      </c>
      <c r="B134" s="2" t="str">
        <f>HYPERLINK("https://my.zakupki.prom.ua/remote/dispatcher/state_purchase_view/14354082", "UA-2019-12-29-000100-c")</f>
        <v>UA-2019-12-29-000100-c</v>
      </c>
      <c r="C134" s="2" t="str">
        <f>HYPERLINK("https://my.zakupki.prom.ua/remote/dispatcher/state_contracting_view/3608392", "UA-2019-12-29-000100-c-c1")</f>
        <v>UA-2019-12-29-000100-c-c1</v>
      </c>
      <c r="D134" s="1" t="s">
        <v>500</v>
      </c>
      <c r="E134" s="1" t="s">
        <v>501</v>
      </c>
      <c r="F134" s="1" t="s">
        <v>498</v>
      </c>
      <c r="G134" s="1" t="s">
        <v>860</v>
      </c>
      <c r="H134" s="1" t="s">
        <v>931</v>
      </c>
      <c r="I134" s="1" t="s">
        <v>431</v>
      </c>
      <c r="J134" s="1" t="s">
        <v>251</v>
      </c>
      <c r="K134" s="5">
        <v>70000</v>
      </c>
      <c r="L134" s="6">
        <v>43828</v>
      </c>
      <c r="M134" s="6">
        <v>44196</v>
      </c>
      <c r="N134" s="1" t="s">
        <v>1127</v>
      </c>
      <c r="O134" s="1" t="s">
        <v>1161</v>
      </c>
    </row>
    <row r="135" spans="1:15" x14ac:dyDescent="0.25">
      <c r="A135" s="4">
        <v>131</v>
      </c>
      <c r="B135" s="2" t="str">
        <f>HYPERLINK("https://my.zakupki.prom.ua/remote/dispatcher/state_purchase_view/14354105", "UA-2019-12-29-000104-c")</f>
        <v>UA-2019-12-29-000104-c</v>
      </c>
      <c r="C135" s="2" t="str">
        <f>HYPERLINK("https://my.zakupki.prom.ua/remote/dispatcher/state_contracting_view/3608410", "UA-2019-12-29-000104-c-c1")</f>
        <v>UA-2019-12-29-000104-c-c1</v>
      </c>
      <c r="D135" s="1" t="s">
        <v>628</v>
      </c>
      <c r="E135" s="1" t="s">
        <v>629</v>
      </c>
      <c r="F135" s="1" t="s">
        <v>627</v>
      </c>
      <c r="G135" s="1" t="s">
        <v>860</v>
      </c>
      <c r="H135" s="1" t="s">
        <v>931</v>
      </c>
      <c r="I135" s="1" t="s">
        <v>431</v>
      </c>
      <c r="J135" s="1" t="s">
        <v>502</v>
      </c>
      <c r="K135" s="5">
        <v>20000</v>
      </c>
      <c r="L135" s="6">
        <v>43828</v>
      </c>
      <c r="M135" s="6">
        <v>44196</v>
      </c>
      <c r="N135" s="1" t="s">
        <v>1127</v>
      </c>
      <c r="O135" s="1" t="s">
        <v>1161</v>
      </c>
    </row>
    <row r="136" spans="1:15" x14ac:dyDescent="0.25">
      <c r="A136" s="4">
        <v>132</v>
      </c>
      <c r="B136" s="2" t="str">
        <f>HYPERLINK("https://my.zakupki.prom.ua/remote/dispatcher/state_purchase_view/21022934", "UA-2020-11-12-009617-c")</f>
        <v>UA-2020-11-12-009617-c</v>
      </c>
      <c r="C136" s="2" t="str">
        <f>HYPERLINK("https://my.zakupki.prom.ua/remote/dispatcher/state_contracting_view/6697020", "UA-2020-11-12-009617-c-c1")</f>
        <v>UA-2020-11-12-009617-c-c1</v>
      </c>
      <c r="D136" s="1" t="s">
        <v>1000</v>
      </c>
      <c r="E136" s="1" t="s">
        <v>1153</v>
      </c>
      <c r="F136" s="1" t="s">
        <v>404</v>
      </c>
      <c r="G136" s="1" t="s">
        <v>843</v>
      </c>
      <c r="H136" s="1" t="s">
        <v>1107</v>
      </c>
      <c r="I136" s="1" t="s">
        <v>299</v>
      </c>
      <c r="J136" s="1" t="s">
        <v>508</v>
      </c>
      <c r="K136" s="5">
        <v>199500</v>
      </c>
      <c r="L136" s="6">
        <v>44169</v>
      </c>
      <c r="M136" s="6">
        <v>44196</v>
      </c>
      <c r="N136" s="1" t="s">
        <v>1136</v>
      </c>
      <c r="O136" s="1" t="s">
        <v>1161</v>
      </c>
    </row>
    <row r="137" spans="1:15" x14ac:dyDescent="0.25">
      <c r="A137" s="4">
        <v>133</v>
      </c>
      <c r="B137" s="2" t="str">
        <f>HYPERLINK("https://my.zakupki.prom.ua/remote/dispatcher/state_purchase_view/24895777", "UA-2021-03-15-008615-b")</f>
        <v>UA-2021-03-15-008615-b</v>
      </c>
      <c r="C137" s="2" t="str">
        <f>HYPERLINK("https://my.zakupki.prom.ua/remote/dispatcher/state_contracting_view/8087962", "UA-2021-03-15-008615-b-b1")</f>
        <v>UA-2021-03-15-008615-b-b1</v>
      </c>
      <c r="D137" s="1" t="s">
        <v>721</v>
      </c>
      <c r="E137" s="1" t="s">
        <v>958</v>
      </c>
      <c r="F137" s="1" t="s">
        <v>720</v>
      </c>
      <c r="G137" s="1" t="s">
        <v>860</v>
      </c>
      <c r="H137" s="1" t="s">
        <v>778</v>
      </c>
      <c r="I137" s="1" t="s">
        <v>194</v>
      </c>
      <c r="J137" s="1" t="s">
        <v>62</v>
      </c>
      <c r="K137" s="5">
        <v>10000</v>
      </c>
      <c r="L137" s="6">
        <v>44270</v>
      </c>
      <c r="M137" s="6">
        <v>44270</v>
      </c>
      <c r="N137" s="1" t="s">
        <v>1127</v>
      </c>
      <c r="O137" s="1" t="s">
        <v>1161</v>
      </c>
    </row>
    <row r="138" spans="1:15" x14ac:dyDescent="0.25">
      <c r="A138" s="4">
        <v>134</v>
      </c>
      <c r="B138" s="2" t="str">
        <f>HYPERLINK("https://my.zakupki.prom.ua/remote/dispatcher/state_purchase_view/23403720", "UA-2021-01-28-011426-b")</f>
        <v>UA-2021-01-28-011426-b</v>
      </c>
      <c r="C138" s="2" t="str">
        <f>HYPERLINK("https://my.zakupki.prom.ua/remote/dispatcher/state_contracting_view/7397353", "UA-2021-01-28-011426-b-b1")</f>
        <v>UA-2021-01-28-011426-b-b1</v>
      </c>
      <c r="D138" s="1" t="s">
        <v>738</v>
      </c>
      <c r="E138" s="1" t="s">
        <v>955</v>
      </c>
      <c r="F138" s="1" t="s">
        <v>740</v>
      </c>
      <c r="G138" s="1" t="s">
        <v>860</v>
      </c>
      <c r="H138" s="1" t="s">
        <v>870</v>
      </c>
      <c r="I138" s="1" t="s">
        <v>356</v>
      </c>
      <c r="J138" s="1" t="s">
        <v>686</v>
      </c>
      <c r="K138" s="5">
        <v>109750</v>
      </c>
      <c r="L138" s="6">
        <v>44223</v>
      </c>
      <c r="M138" s="6">
        <v>44223</v>
      </c>
      <c r="N138" s="1" t="s">
        <v>1127</v>
      </c>
      <c r="O138" s="1" t="s">
        <v>1161</v>
      </c>
    </row>
    <row r="139" spans="1:15" x14ac:dyDescent="0.25">
      <c r="A139" s="4">
        <v>135</v>
      </c>
      <c r="B139" s="2" t="str">
        <f>HYPERLINK("https://my.zakupki.prom.ua/remote/dispatcher/state_purchase_view/14718687", "UA-2020-01-22-003158-a")</f>
        <v>UA-2020-01-22-003158-a</v>
      </c>
      <c r="C139" s="2" t="str">
        <f>HYPERLINK("https://my.zakupki.prom.ua/remote/dispatcher/state_contracting_view/3669098", "UA-2020-01-22-003158-a-a1")</f>
        <v>UA-2020-01-22-003158-a-a1</v>
      </c>
      <c r="D139" s="1" t="s">
        <v>292</v>
      </c>
      <c r="E139" s="1" t="s">
        <v>291</v>
      </c>
      <c r="F139" s="1" t="s">
        <v>290</v>
      </c>
      <c r="G139" s="1" t="s">
        <v>860</v>
      </c>
      <c r="H139" s="1" t="s">
        <v>1124</v>
      </c>
      <c r="I139" s="1" t="s">
        <v>243</v>
      </c>
      <c r="J139" s="1" t="s">
        <v>687</v>
      </c>
      <c r="K139" s="5">
        <v>90000</v>
      </c>
      <c r="L139" s="6">
        <v>43852</v>
      </c>
      <c r="M139" s="6">
        <v>44196</v>
      </c>
      <c r="N139" s="1" t="s">
        <v>1127</v>
      </c>
      <c r="O139" s="1" t="s">
        <v>1161</v>
      </c>
    </row>
    <row r="140" spans="1:15" x14ac:dyDescent="0.25">
      <c r="A140" s="4">
        <v>136</v>
      </c>
      <c r="B140" s="2" t="str">
        <f>HYPERLINK("https://my.zakupki.prom.ua/remote/dispatcher/state_purchase_view/14415854", "UA-2020-01-10-000018-c")</f>
        <v>UA-2020-01-10-000018-c</v>
      </c>
      <c r="C140" s="2" t="str">
        <f>HYPERLINK("https://my.zakupki.prom.ua/remote/dispatcher/state_contracting_view/3619573", "UA-2020-01-10-000018-c-c1")</f>
        <v>UA-2020-01-10-000018-c-c1</v>
      </c>
      <c r="D140" s="1" t="s">
        <v>100</v>
      </c>
      <c r="E140" s="1" t="s">
        <v>99</v>
      </c>
      <c r="F140" s="1" t="s">
        <v>98</v>
      </c>
      <c r="G140" s="1" t="s">
        <v>860</v>
      </c>
      <c r="H140" s="1" t="s">
        <v>1040</v>
      </c>
      <c r="I140" s="1" t="s">
        <v>474</v>
      </c>
      <c r="J140" s="1" t="s">
        <v>167</v>
      </c>
      <c r="K140" s="5">
        <v>35000</v>
      </c>
      <c r="L140" s="6">
        <v>43839</v>
      </c>
      <c r="M140" s="6">
        <v>44196</v>
      </c>
      <c r="N140" s="1" t="s">
        <v>1127</v>
      </c>
      <c r="O140" s="1" t="s">
        <v>1161</v>
      </c>
    </row>
    <row r="141" spans="1:15" x14ac:dyDescent="0.25">
      <c r="A141" s="4">
        <v>137</v>
      </c>
      <c r="B141" s="2" t="str">
        <f>HYPERLINK("https://my.zakupki.prom.ua/remote/dispatcher/state_purchase_view/16203852", "UA-2020-04-10-000776-b")</f>
        <v>UA-2020-04-10-000776-b</v>
      </c>
      <c r="C141" s="2" t="str">
        <f>HYPERLINK("https://my.zakupki.prom.ua/remote/dispatcher/state_contracting_view/4086485", "UA-2020-04-10-000776-b-b1")</f>
        <v>UA-2020-04-10-000776-b-b1</v>
      </c>
      <c r="D141" s="1" t="s">
        <v>827</v>
      </c>
      <c r="E141" s="1" t="s">
        <v>827</v>
      </c>
      <c r="F141" s="1" t="s">
        <v>657</v>
      </c>
      <c r="G141" s="1" t="s">
        <v>860</v>
      </c>
      <c r="H141" s="1" t="s">
        <v>1082</v>
      </c>
      <c r="I141" s="1" t="s">
        <v>140</v>
      </c>
      <c r="J141" s="1" t="s">
        <v>900</v>
      </c>
      <c r="K141" s="5">
        <v>157580</v>
      </c>
      <c r="L141" s="6">
        <v>43930</v>
      </c>
      <c r="M141" s="6">
        <v>44196</v>
      </c>
      <c r="N141" s="1" t="s">
        <v>1127</v>
      </c>
      <c r="O141" s="1" t="s">
        <v>1161</v>
      </c>
    </row>
    <row r="142" spans="1:15" x14ac:dyDescent="0.25">
      <c r="A142" s="4">
        <v>138</v>
      </c>
      <c r="B142" s="2" t="str">
        <f>HYPERLINK("https://my.zakupki.prom.ua/remote/dispatcher/state_purchase_view/16955551", "UA-2020-06-01-002403-b")</f>
        <v>UA-2020-06-01-002403-b</v>
      </c>
      <c r="C142" s="2" t="str">
        <f>HYPERLINK("https://my.zakupki.prom.ua/remote/dispatcher/state_contracting_view/4402572", "UA-2020-06-01-002403-b-b1")</f>
        <v>UA-2020-06-01-002403-b-b1</v>
      </c>
      <c r="D142" s="1" t="s">
        <v>971</v>
      </c>
      <c r="E142" s="1" t="s">
        <v>801</v>
      </c>
      <c r="F142" s="1" t="s">
        <v>683</v>
      </c>
      <c r="G142" s="1" t="s">
        <v>860</v>
      </c>
      <c r="H142" s="1" t="s">
        <v>765</v>
      </c>
      <c r="I142" s="1" t="s">
        <v>170</v>
      </c>
      <c r="J142" s="1" t="s">
        <v>1102</v>
      </c>
      <c r="K142" s="5">
        <v>2309.41</v>
      </c>
      <c r="L142" s="6">
        <v>43979</v>
      </c>
      <c r="M142" s="6">
        <v>44196</v>
      </c>
      <c r="N142" s="1" t="s">
        <v>1127</v>
      </c>
      <c r="O142" s="1" t="s">
        <v>1161</v>
      </c>
    </row>
    <row r="143" spans="1:15" x14ac:dyDescent="0.25">
      <c r="A143" s="4">
        <v>139</v>
      </c>
      <c r="B143" s="2" t="str">
        <f>HYPERLINK("https://my.zakupki.prom.ua/remote/dispatcher/state_purchase_view/14873850", "UA-2020-01-28-000291-a")</f>
        <v>UA-2020-01-28-000291-a</v>
      </c>
      <c r="C143" s="2" t="str">
        <f>HYPERLINK("https://my.zakupki.prom.ua/remote/dispatcher/state_contracting_view/3697948", "UA-2020-01-28-000291-a-a1")</f>
        <v>UA-2020-01-28-000291-a-a1</v>
      </c>
      <c r="D143" s="1" t="s">
        <v>743</v>
      </c>
      <c r="E143" s="1" t="s">
        <v>742</v>
      </c>
      <c r="F143" s="1" t="s">
        <v>740</v>
      </c>
      <c r="G143" s="1" t="s">
        <v>860</v>
      </c>
      <c r="H143" s="1" t="s">
        <v>870</v>
      </c>
      <c r="I143" s="1" t="s">
        <v>356</v>
      </c>
      <c r="J143" s="1" t="s">
        <v>698</v>
      </c>
      <c r="K143" s="5">
        <v>49980.15</v>
      </c>
      <c r="L143" s="6">
        <v>43857</v>
      </c>
      <c r="M143" s="6">
        <v>44196</v>
      </c>
      <c r="N143" s="1" t="s">
        <v>1127</v>
      </c>
      <c r="O143" s="1" t="s">
        <v>1161</v>
      </c>
    </row>
    <row r="144" spans="1:15" x14ac:dyDescent="0.25">
      <c r="A144" s="4">
        <v>140</v>
      </c>
      <c r="B144" s="2" t="str">
        <f>HYPERLINK("https://my.zakupki.prom.ua/remote/dispatcher/state_purchase_view/21670803", "UA-2020-12-02-010371-b")</f>
        <v>UA-2020-12-02-010371-b</v>
      </c>
      <c r="C144" s="2" t="str">
        <f>HYPERLINK("https://my.zakupki.prom.ua/remote/dispatcher/state_contracting_view/6620615", "UA-2020-12-02-010371-b-b1")</f>
        <v>UA-2020-12-02-010371-b-b1</v>
      </c>
      <c r="D144" s="1" t="s">
        <v>981</v>
      </c>
      <c r="E144" s="1" t="s">
        <v>1148</v>
      </c>
      <c r="F144" s="1" t="s">
        <v>655</v>
      </c>
      <c r="G144" s="1" t="s">
        <v>860</v>
      </c>
      <c r="H144" s="1" t="s">
        <v>1028</v>
      </c>
      <c r="I144" s="1" t="s">
        <v>4</v>
      </c>
      <c r="J144" s="1" t="s">
        <v>504</v>
      </c>
      <c r="K144" s="5">
        <v>40000</v>
      </c>
      <c r="L144" s="6">
        <v>44166</v>
      </c>
      <c r="M144" s="6">
        <v>44196</v>
      </c>
      <c r="N144" s="1" t="s">
        <v>1127</v>
      </c>
      <c r="O144" s="1" t="s">
        <v>1161</v>
      </c>
    </row>
    <row r="145" spans="1:15" x14ac:dyDescent="0.25">
      <c r="A145" s="4">
        <v>141</v>
      </c>
      <c r="B145" s="2" t="str">
        <f>HYPERLINK("https://my.zakupki.prom.ua/remote/dispatcher/state_purchase_view/20630721", "UA-2020-10-30-005699-c")</f>
        <v>UA-2020-10-30-005699-c</v>
      </c>
      <c r="C145" s="2" t="str">
        <f>HYPERLINK("https://my.zakupki.prom.ua/remote/dispatcher/state_contracting_view/6132990", "UA-2020-10-30-005699-c-c1")</f>
        <v>UA-2020-10-30-005699-c-c1</v>
      </c>
      <c r="D145" s="1" t="s">
        <v>350</v>
      </c>
      <c r="E145" s="1" t="s">
        <v>1141</v>
      </c>
      <c r="F145" s="1" t="s">
        <v>348</v>
      </c>
      <c r="G145" s="1" t="s">
        <v>860</v>
      </c>
      <c r="H145" s="1" t="s">
        <v>1049</v>
      </c>
      <c r="I145" s="1" t="s">
        <v>271</v>
      </c>
      <c r="J145" s="1" t="s">
        <v>430</v>
      </c>
      <c r="K145" s="5">
        <v>16044</v>
      </c>
      <c r="L145" s="6">
        <v>44132</v>
      </c>
      <c r="M145" s="6">
        <v>44196</v>
      </c>
      <c r="N145" s="1" t="s">
        <v>1127</v>
      </c>
      <c r="O145" s="1" t="s">
        <v>1161</v>
      </c>
    </row>
    <row r="146" spans="1:15" x14ac:dyDescent="0.25">
      <c r="A146" s="4">
        <v>142</v>
      </c>
      <c r="B146" s="2" t="str">
        <f>HYPERLINK("https://my.zakupki.prom.ua/remote/dispatcher/state_purchase_view/21955855", "UA-2020-12-09-013368-c")</f>
        <v>UA-2020-12-09-013368-c</v>
      </c>
      <c r="C146" s="2" t="str">
        <f>HYPERLINK("https://my.zakupki.prom.ua/remote/dispatcher/state_contracting_view/6753425", "UA-2020-12-09-013368-c-c1")</f>
        <v>UA-2020-12-09-013368-c-c1</v>
      </c>
      <c r="D146" s="1" t="s">
        <v>426</v>
      </c>
      <c r="E146" s="1" t="s">
        <v>1157</v>
      </c>
      <c r="F146" s="1" t="s">
        <v>425</v>
      </c>
      <c r="G146" s="1" t="s">
        <v>860</v>
      </c>
      <c r="H146" s="1" t="s">
        <v>1115</v>
      </c>
      <c r="I146" s="1" t="s">
        <v>422</v>
      </c>
      <c r="J146" s="1" t="s">
        <v>511</v>
      </c>
      <c r="K146" s="5">
        <v>49500</v>
      </c>
      <c r="L146" s="6">
        <v>44173</v>
      </c>
      <c r="M146" s="6">
        <v>44196</v>
      </c>
      <c r="N146" s="1" t="s">
        <v>1127</v>
      </c>
      <c r="O146" s="1" t="s">
        <v>1161</v>
      </c>
    </row>
    <row r="147" spans="1:15" x14ac:dyDescent="0.25">
      <c r="A147" s="4">
        <v>143</v>
      </c>
      <c r="B147" s="2" t="str">
        <f>HYPERLINK("https://my.zakupki.prom.ua/remote/dispatcher/state_purchase_view/14862655", "UA-2020-01-27-003782-a")</f>
        <v>UA-2020-01-27-003782-a</v>
      </c>
      <c r="C147" s="2" t="str">
        <f>HYPERLINK("https://my.zakupki.prom.ua/remote/dispatcher/state_contracting_view/3695301", "UA-2020-01-27-003782-a-a1")</f>
        <v>UA-2020-01-27-003782-a-a1</v>
      </c>
      <c r="D147" s="1" t="s">
        <v>156</v>
      </c>
      <c r="E147" s="1" t="s">
        <v>157</v>
      </c>
      <c r="F147" s="1" t="s">
        <v>155</v>
      </c>
      <c r="G147" s="1" t="s">
        <v>860</v>
      </c>
      <c r="H147" s="1" t="s">
        <v>928</v>
      </c>
      <c r="I147" s="1" t="s">
        <v>137</v>
      </c>
      <c r="J147" s="1" t="s">
        <v>694</v>
      </c>
      <c r="K147" s="5">
        <v>150000</v>
      </c>
      <c r="L147" s="6">
        <v>43857</v>
      </c>
      <c r="M147" s="6">
        <v>44196</v>
      </c>
      <c r="N147" s="1" t="s">
        <v>1127</v>
      </c>
      <c r="O147" s="1" t="s">
        <v>1161</v>
      </c>
    </row>
    <row r="148" spans="1:15" x14ac:dyDescent="0.25">
      <c r="A148" s="4">
        <v>144</v>
      </c>
      <c r="B148" s="2" t="str">
        <f>HYPERLINK("https://my.zakupki.prom.ua/remote/dispatcher/state_purchase_view/18751646", "UA-2020-08-25-001757-a")</f>
        <v>UA-2020-08-25-001757-a</v>
      </c>
      <c r="C148" s="2" t="str">
        <f>HYPERLINK("https://my.zakupki.prom.ua/remote/dispatcher/state_contracting_view/5238296", "UA-2020-08-25-001757-a-a1")</f>
        <v>UA-2020-08-25-001757-a-a1</v>
      </c>
      <c r="D148" s="1" t="s">
        <v>991</v>
      </c>
      <c r="E148" s="1" t="s">
        <v>983</v>
      </c>
      <c r="F148" s="1" t="s">
        <v>648</v>
      </c>
      <c r="G148" s="1" t="s">
        <v>860</v>
      </c>
      <c r="H148" s="1" t="s">
        <v>859</v>
      </c>
      <c r="I148" s="1" t="s">
        <v>360</v>
      </c>
      <c r="J148" s="1" t="s">
        <v>232</v>
      </c>
      <c r="K148" s="5">
        <v>40995</v>
      </c>
      <c r="L148" s="6">
        <v>44063</v>
      </c>
      <c r="M148" s="6">
        <v>44196</v>
      </c>
      <c r="N148" s="1" t="s">
        <v>1127</v>
      </c>
      <c r="O148" s="1" t="s">
        <v>1161</v>
      </c>
    </row>
    <row r="149" spans="1:15" x14ac:dyDescent="0.25">
      <c r="A149" s="4">
        <v>145</v>
      </c>
      <c r="B149" s="2" t="str">
        <f>HYPERLINK("https://my.zakupki.prom.ua/remote/dispatcher/state_purchase_view/20849480", "UA-2020-11-06-010558-c")</f>
        <v>UA-2020-11-06-010558-c</v>
      </c>
      <c r="C149" s="2" t="str">
        <f>HYPERLINK("https://my.zakupki.prom.ua/remote/dispatcher/state_contracting_view/6236693", "UA-2020-11-06-010558-c-c1")</f>
        <v>UA-2020-11-06-010558-c-c1</v>
      </c>
      <c r="D149" s="1" t="s">
        <v>654</v>
      </c>
      <c r="E149" s="1" t="s">
        <v>1149</v>
      </c>
      <c r="F149" s="1" t="s">
        <v>655</v>
      </c>
      <c r="G149" s="1" t="s">
        <v>860</v>
      </c>
      <c r="H149" s="1" t="s">
        <v>868</v>
      </c>
      <c r="I149" s="1" t="s">
        <v>9</v>
      </c>
      <c r="J149" s="1" t="s">
        <v>443</v>
      </c>
      <c r="K149" s="5">
        <v>3264</v>
      </c>
      <c r="L149" s="6">
        <v>44140</v>
      </c>
      <c r="M149" s="6">
        <v>44196</v>
      </c>
      <c r="N149" s="1" t="s">
        <v>1127</v>
      </c>
      <c r="O149" s="1" t="s">
        <v>1161</v>
      </c>
    </row>
    <row r="150" spans="1:15" x14ac:dyDescent="0.25">
      <c r="A150" s="4">
        <v>146</v>
      </c>
      <c r="B150" s="2" t="str">
        <f>HYPERLINK("https://my.zakupki.prom.ua/remote/dispatcher/state_purchase_view/17372425", "UA-2020-06-19-004127-c")</f>
        <v>UA-2020-06-19-004127-c</v>
      </c>
      <c r="C150" s="2" t="str">
        <f>HYPERLINK("https://my.zakupki.prom.ua/remote/dispatcher/state_contracting_view/4601733", "UA-2020-06-19-004127-c-c1")</f>
        <v>UA-2020-06-19-004127-c-c1</v>
      </c>
      <c r="D150" s="1" t="s">
        <v>1091</v>
      </c>
      <c r="E150" s="1" t="s">
        <v>796</v>
      </c>
      <c r="F150" s="1" t="s">
        <v>552</v>
      </c>
      <c r="G150" s="1" t="s">
        <v>860</v>
      </c>
      <c r="H150" s="1" t="s">
        <v>934</v>
      </c>
      <c r="I150" s="1" t="s">
        <v>434</v>
      </c>
      <c r="J150" s="1" t="s">
        <v>144</v>
      </c>
      <c r="K150" s="5">
        <v>49590</v>
      </c>
      <c r="L150" s="6">
        <v>43998</v>
      </c>
      <c r="M150" s="6">
        <v>44196</v>
      </c>
      <c r="N150" s="1" t="s">
        <v>1127</v>
      </c>
      <c r="O150" s="1" t="s">
        <v>1161</v>
      </c>
    </row>
    <row r="151" spans="1:15" x14ac:dyDescent="0.25">
      <c r="A151" s="4">
        <v>147</v>
      </c>
      <c r="B151" s="2" t="str">
        <f>HYPERLINK("https://my.zakupki.prom.ua/remote/dispatcher/state_purchase_view/18463125", "UA-2020-08-11-006175-a")</f>
        <v>UA-2020-08-11-006175-a</v>
      </c>
      <c r="C151" s="2" t="str">
        <f>HYPERLINK("https://my.zakupki.prom.ua/remote/dispatcher/state_contracting_view/5101045", "UA-2020-08-11-006175-a-a1")</f>
        <v>UA-2020-08-11-006175-a-a1</v>
      </c>
      <c r="D151" s="1" t="s">
        <v>572</v>
      </c>
      <c r="E151" s="1" t="s">
        <v>1114</v>
      </c>
      <c r="F151" s="1" t="s">
        <v>568</v>
      </c>
      <c r="G151" s="1" t="s">
        <v>860</v>
      </c>
      <c r="H151" s="1" t="s">
        <v>811</v>
      </c>
      <c r="I151" s="1" t="s">
        <v>237</v>
      </c>
      <c r="J151" s="1" t="s">
        <v>226</v>
      </c>
      <c r="K151" s="5">
        <v>8580</v>
      </c>
      <c r="L151" s="6">
        <v>44054</v>
      </c>
      <c r="M151" s="6">
        <v>44196</v>
      </c>
      <c r="N151" s="1" t="s">
        <v>1127</v>
      </c>
      <c r="O151" s="1" t="s">
        <v>1161</v>
      </c>
    </row>
    <row r="152" spans="1:15" x14ac:dyDescent="0.25">
      <c r="A152" s="4">
        <v>148</v>
      </c>
      <c r="B152" s="2" t="str">
        <f>HYPERLINK("https://my.zakupki.prom.ua/remote/dispatcher/state_purchase_view/18189360", "UA-2020-07-29-003741-c")</f>
        <v>UA-2020-07-29-003741-c</v>
      </c>
      <c r="C152" s="2" t="str">
        <f>HYPERLINK("https://my.zakupki.prom.ua/remote/dispatcher/state_contracting_view/5374578", "UA-2020-07-29-003741-c-a1")</f>
        <v>UA-2020-07-29-003741-c-a1</v>
      </c>
      <c r="D152" s="1" t="s">
        <v>200</v>
      </c>
      <c r="E152" s="1" t="s">
        <v>855</v>
      </c>
      <c r="F152" s="1" t="s">
        <v>199</v>
      </c>
      <c r="G152" s="1" t="s">
        <v>843</v>
      </c>
      <c r="H152" s="1" t="s">
        <v>1038</v>
      </c>
      <c r="I152" s="1" t="s">
        <v>279</v>
      </c>
      <c r="J152" s="1" t="s">
        <v>242</v>
      </c>
      <c r="K152" s="5">
        <v>695505.8</v>
      </c>
      <c r="L152" s="6">
        <v>44078</v>
      </c>
      <c r="M152" s="6">
        <v>44196</v>
      </c>
      <c r="N152" s="1" t="s">
        <v>1136</v>
      </c>
      <c r="O152" s="1" t="s">
        <v>1161</v>
      </c>
    </row>
    <row r="153" spans="1:15" x14ac:dyDescent="0.25">
      <c r="A153" s="4">
        <v>149</v>
      </c>
      <c r="B153" s="2" t="str">
        <f>HYPERLINK("https://my.zakupki.prom.ua/remote/dispatcher/state_purchase_view/17010946", "UA-2020-06-03-001404-b")</f>
        <v>UA-2020-06-03-001404-b</v>
      </c>
      <c r="C153" s="2" t="str">
        <f>HYPERLINK("https://my.zakupki.prom.ua/remote/dispatcher/state_contracting_view/4748092", "UA-2020-06-03-001404-b-c1")</f>
        <v>UA-2020-06-03-001404-b-c1</v>
      </c>
      <c r="D153" s="1" t="s">
        <v>596</v>
      </c>
      <c r="E153" s="1" t="s">
        <v>977</v>
      </c>
      <c r="F153" s="1" t="s">
        <v>594</v>
      </c>
      <c r="G153" s="1" t="s">
        <v>843</v>
      </c>
      <c r="H153" s="1" t="s">
        <v>925</v>
      </c>
      <c r="I153" s="1" t="s">
        <v>264</v>
      </c>
      <c r="J153" s="1" t="s">
        <v>181</v>
      </c>
      <c r="K153" s="5">
        <v>233976</v>
      </c>
      <c r="L153" s="6">
        <v>44015</v>
      </c>
      <c r="M153" s="6">
        <v>44196</v>
      </c>
      <c r="N153" s="1" t="s">
        <v>1136</v>
      </c>
      <c r="O153" s="1" t="s">
        <v>1161</v>
      </c>
    </row>
    <row r="154" spans="1:15" x14ac:dyDescent="0.25">
      <c r="A154" s="4">
        <v>150</v>
      </c>
      <c r="B154" s="2" t="str">
        <f>HYPERLINK("https://my.zakupki.prom.ua/remote/dispatcher/state_purchase_view/18245252", "UA-2020-07-31-004795-c")</f>
        <v>UA-2020-07-31-004795-c</v>
      </c>
      <c r="C154" s="2" t="str">
        <f>HYPERLINK("https://my.zakupki.prom.ua/remote/dispatcher/state_contracting_view/5292993", "UA-2020-07-31-004795-c-a1")</f>
        <v>UA-2020-07-31-004795-c-a1</v>
      </c>
      <c r="D154" s="1" t="s">
        <v>405</v>
      </c>
      <c r="E154" s="1" t="s">
        <v>1153</v>
      </c>
      <c r="F154" s="1" t="s">
        <v>404</v>
      </c>
      <c r="G154" s="1" t="s">
        <v>843</v>
      </c>
      <c r="H154" s="1" t="s">
        <v>1107</v>
      </c>
      <c r="I154" s="1" t="s">
        <v>299</v>
      </c>
      <c r="J154" s="1" t="s">
        <v>234</v>
      </c>
      <c r="K154" s="5">
        <v>199500</v>
      </c>
      <c r="L154" s="6">
        <v>44070</v>
      </c>
      <c r="M154" s="6">
        <v>44196</v>
      </c>
      <c r="N154" s="1" t="s">
        <v>1136</v>
      </c>
      <c r="O154" s="1" t="s">
        <v>1161</v>
      </c>
    </row>
    <row r="155" spans="1:15" x14ac:dyDescent="0.25">
      <c r="A155" s="4">
        <v>151</v>
      </c>
      <c r="B155" s="2" t="str">
        <f>HYPERLINK("https://my.zakupki.prom.ua/remote/dispatcher/state_purchase_view/18564158", "UA-2020-08-14-007308-a")</f>
        <v>UA-2020-08-14-007308-a</v>
      </c>
      <c r="C155" s="2" t="str">
        <f>HYPERLINK("https://my.zakupki.prom.ua/remote/dispatcher/state_contracting_view/5473396", "UA-2020-08-14-007308-a-b1")</f>
        <v>UA-2020-08-14-007308-a-b1</v>
      </c>
      <c r="D155" s="1" t="s">
        <v>674</v>
      </c>
      <c r="E155" s="1" t="s">
        <v>964</v>
      </c>
      <c r="F155" s="1" t="s">
        <v>674</v>
      </c>
      <c r="G155" s="1" t="s">
        <v>843</v>
      </c>
      <c r="H155" s="1" t="s">
        <v>836</v>
      </c>
      <c r="I155" s="1" t="s">
        <v>14</v>
      </c>
      <c r="J155" s="1" t="s">
        <v>259</v>
      </c>
      <c r="K155" s="5">
        <v>57284.35</v>
      </c>
      <c r="L155" s="6">
        <v>44085</v>
      </c>
      <c r="M155" s="6">
        <v>44196</v>
      </c>
      <c r="N155" s="1" t="s">
        <v>1136</v>
      </c>
      <c r="O155" s="1" t="s">
        <v>1161</v>
      </c>
    </row>
    <row r="156" spans="1:15" x14ac:dyDescent="0.25">
      <c r="A156" s="4">
        <v>152</v>
      </c>
      <c r="B156" s="2" t="str">
        <f>HYPERLINK("https://my.zakupki.prom.ua/remote/dispatcher/state_purchase_view/14874527", "UA-2020-01-28-000414-a")</f>
        <v>UA-2020-01-28-000414-a</v>
      </c>
      <c r="C156" s="2" t="str">
        <f>HYPERLINK("https://my.zakupki.prom.ua/remote/dispatcher/state_contracting_view/3698124", "UA-2020-01-28-000414-a-a1")</f>
        <v>UA-2020-01-28-000414-a-a1</v>
      </c>
      <c r="D156" s="1" t="s">
        <v>741</v>
      </c>
      <c r="E156" s="1" t="s">
        <v>741</v>
      </c>
      <c r="F156" s="1" t="s">
        <v>740</v>
      </c>
      <c r="G156" s="1" t="s">
        <v>860</v>
      </c>
      <c r="H156" s="1" t="s">
        <v>870</v>
      </c>
      <c r="I156" s="1" t="s">
        <v>356</v>
      </c>
      <c r="J156" s="1" t="s">
        <v>723</v>
      </c>
      <c r="K156" s="5">
        <v>35143.35</v>
      </c>
      <c r="L156" s="6">
        <v>43857</v>
      </c>
      <c r="M156" s="6">
        <v>44196</v>
      </c>
      <c r="N156" s="1" t="s">
        <v>1127</v>
      </c>
      <c r="O156" s="1" t="s">
        <v>1161</v>
      </c>
    </row>
    <row r="157" spans="1:15" x14ac:dyDescent="0.25">
      <c r="A157" s="4">
        <v>153</v>
      </c>
      <c r="B157" s="2" t="str">
        <f>HYPERLINK("https://my.zakupki.prom.ua/remote/dispatcher/state_purchase_view/14673374", "UA-2020-01-21-003967-a")</f>
        <v>UA-2020-01-21-003967-a</v>
      </c>
      <c r="C157" s="2" t="str">
        <f>HYPERLINK("https://my.zakupki.prom.ua/remote/dispatcher/state_contracting_view/3660926", "UA-2020-01-21-003967-a-a1")</f>
        <v>UA-2020-01-21-003967-a-a1</v>
      </c>
      <c r="D157" s="1" t="s">
        <v>296</v>
      </c>
      <c r="E157" s="1" t="s">
        <v>297</v>
      </c>
      <c r="F157" s="1" t="s">
        <v>295</v>
      </c>
      <c r="G157" s="1" t="s">
        <v>860</v>
      </c>
      <c r="H157" s="1" t="s">
        <v>856</v>
      </c>
      <c r="I157" s="1" t="s">
        <v>213</v>
      </c>
      <c r="J157" s="1" t="s">
        <v>684</v>
      </c>
      <c r="K157" s="5">
        <v>200000</v>
      </c>
      <c r="L157" s="6">
        <v>43851</v>
      </c>
      <c r="M157" s="6">
        <v>44196</v>
      </c>
      <c r="N157" s="1" t="s">
        <v>1127</v>
      </c>
      <c r="O157" s="1" t="s">
        <v>1161</v>
      </c>
    </row>
    <row r="158" spans="1:15" x14ac:dyDescent="0.25">
      <c r="A158" s="4">
        <v>154</v>
      </c>
      <c r="B158" s="2" t="str">
        <f>HYPERLINK("https://my.zakupki.prom.ua/remote/dispatcher/state_purchase_view/14673441", "UA-2020-01-21-003982-a")</f>
        <v>UA-2020-01-21-003982-a</v>
      </c>
      <c r="C158" s="2" t="str">
        <f>HYPERLINK("https://my.zakupki.prom.ua/remote/dispatcher/state_contracting_view/3660943", "UA-2020-01-21-003982-a-a1")</f>
        <v>UA-2020-01-21-003982-a-a1</v>
      </c>
      <c r="D158" s="1" t="s">
        <v>623</v>
      </c>
      <c r="E158" s="1" t="s">
        <v>624</v>
      </c>
      <c r="F158" s="1" t="s">
        <v>622</v>
      </c>
      <c r="G158" s="1" t="s">
        <v>860</v>
      </c>
      <c r="H158" s="1" t="s">
        <v>1029</v>
      </c>
      <c r="I158" s="1" t="s">
        <v>472</v>
      </c>
      <c r="J158" s="1" t="s">
        <v>685</v>
      </c>
      <c r="K158" s="5">
        <v>100000</v>
      </c>
      <c r="L158" s="6">
        <v>43851</v>
      </c>
      <c r="M158" s="6">
        <v>44196</v>
      </c>
      <c r="N158" s="1" t="s">
        <v>1127</v>
      </c>
      <c r="O158" s="1" t="s">
        <v>1161</v>
      </c>
    </row>
    <row r="159" spans="1:15" x14ac:dyDescent="0.25">
      <c r="A159" s="4">
        <v>155</v>
      </c>
      <c r="B159" s="2" t="str">
        <f>HYPERLINK("https://my.zakupki.prom.ua/remote/dispatcher/state_purchase_view/14491238", "UA-2020-01-15-000040-c")</f>
        <v>UA-2020-01-15-000040-c</v>
      </c>
      <c r="C159" s="2" t="str">
        <f>HYPERLINK("https://my.zakupki.prom.ua/remote/dispatcher/state_contracting_view/3630789", "UA-2020-01-15-000040-c-c1")</f>
        <v>UA-2020-01-15-000040-c-c1</v>
      </c>
      <c r="D159" s="1" t="s">
        <v>262</v>
      </c>
      <c r="E159" s="1" t="s">
        <v>263</v>
      </c>
      <c r="F159" s="1" t="s">
        <v>260</v>
      </c>
      <c r="G159" s="1" t="s">
        <v>860</v>
      </c>
      <c r="H159" s="1" t="s">
        <v>1049</v>
      </c>
      <c r="I159" s="1" t="s">
        <v>271</v>
      </c>
      <c r="J159" s="1" t="s">
        <v>503</v>
      </c>
      <c r="K159" s="5">
        <v>50000</v>
      </c>
      <c r="L159" s="6">
        <v>43845</v>
      </c>
      <c r="M159" s="6">
        <v>44196</v>
      </c>
      <c r="N159" s="1" t="s">
        <v>1127</v>
      </c>
      <c r="O159" s="1" t="s">
        <v>1161</v>
      </c>
    </row>
    <row r="160" spans="1:15" x14ac:dyDescent="0.25">
      <c r="A160" s="4">
        <v>156</v>
      </c>
      <c r="B160" s="2" t="str">
        <f>HYPERLINK("https://my.zakupki.prom.ua/remote/dispatcher/state_purchase_view/14423099", "UA-2020-01-10-001039-c")</f>
        <v>UA-2020-01-10-001039-c</v>
      </c>
      <c r="C160" s="2" t="str">
        <f>HYPERLINK("https://my.zakupki.prom.ua/remote/dispatcher/state_contracting_view/3620700", "UA-2020-01-10-001039-c-c1")</f>
        <v>UA-2020-01-10-001039-c-c1</v>
      </c>
      <c r="D160" s="1" t="s">
        <v>574</v>
      </c>
      <c r="E160" s="1" t="s">
        <v>575</v>
      </c>
      <c r="F160" s="1" t="s">
        <v>568</v>
      </c>
      <c r="G160" s="1" t="s">
        <v>860</v>
      </c>
      <c r="H160" s="1" t="s">
        <v>754</v>
      </c>
      <c r="I160" s="1" t="s">
        <v>126</v>
      </c>
      <c r="J160" s="1" t="s">
        <v>365</v>
      </c>
      <c r="K160" s="5">
        <v>100000</v>
      </c>
      <c r="L160" s="6">
        <v>43840</v>
      </c>
      <c r="M160" s="6">
        <v>44196</v>
      </c>
      <c r="N160" s="1" t="s">
        <v>1127</v>
      </c>
      <c r="O160" s="1" t="s">
        <v>1161</v>
      </c>
    </row>
    <row r="161" spans="1:15" x14ac:dyDescent="0.25">
      <c r="A161" s="4">
        <v>157</v>
      </c>
      <c r="B161" s="2" t="str">
        <f>HYPERLINK("https://my.zakupki.prom.ua/remote/dispatcher/state_purchase_view/14416430", "UA-2020-01-10-000084-c")</f>
        <v>UA-2020-01-10-000084-c</v>
      </c>
      <c r="C161" s="2" t="str">
        <f>HYPERLINK("https://my.zakupki.prom.ua/remote/dispatcher/state_contracting_view/3619669", "UA-2020-01-10-000084-c-c1")</f>
        <v>UA-2020-01-10-000084-c-c1</v>
      </c>
      <c r="D161" s="1" t="s">
        <v>109</v>
      </c>
      <c r="E161" s="1" t="s">
        <v>110</v>
      </c>
      <c r="F161" s="1" t="s">
        <v>108</v>
      </c>
      <c r="G161" s="1" t="s">
        <v>860</v>
      </c>
      <c r="H161" s="1" t="s">
        <v>873</v>
      </c>
      <c r="I161" s="1" t="s">
        <v>142</v>
      </c>
      <c r="J161" s="1" t="s">
        <v>221</v>
      </c>
      <c r="K161" s="5">
        <v>80000</v>
      </c>
      <c r="L161" s="6">
        <v>43839</v>
      </c>
      <c r="M161" s="6">
        <v>44196</v>
      </c>
      <c r="N161" s="1" t="s">
        <v>1127</v>
      </c>
      <c r="O161" s="1" t="s">
        <v>1161</v>
      </c>
    </row>
    <row r="162" spans="1:15" x14ac:dyDescent="0.25">
      <c r="A162" s="4">
        <v>158</v>
      </c>
      <c r="B162" s="2" t="str">
        <f>HYPERLINK("https://my.zakupki.prom.ua/remote/dispatcher/state_purchase_view/21159197", "UA-2020-11-17-010465-c")</f>
        <v>UA-2020-11-17-010465-c</v>
      </c>
      <c r="C162" s="2" t="str">
        <f>HYPERLINK("https://my.zakupki.prom.ua/remote/dispatcher/state_contracting_view/6382208", "UA-2020-11-17-010465-c-c1")</f>
        <v>UA-2020-11-17-010465-c-c1</v>
      </c>
      <c r="D162" s="1" t="s">
        <v>634</v>
      </c>
      <c r="E162" s="1" t="s">
        <v>1151</v>
      </c>
      <c r="F162" s="1" t="s">
        <v>633</v>
      </c>
      <c r="G162" s="1" t="s">
        <v>860</v>
      </c>
      <c r="H162" s="1" t="s">
        <v>779</v>
      </c>
      <c r="I162" s="1" t="s">
        <v>215</v>
      </c>
      <c r="J162" s="1" t="s">
        <v>456</v>
      </c>
      <c r="K162" s="5">
        <v>49780.56</v>
      </c>
      <c r="L162" s="6">
        <v>44152</v>
      </c>
      <c r="M162" s="6">
        <v>44196</v>
      </c>
      <c r="N162" s="1" t="s">
        <v>1127</v>
      </c>
      <c r="O162" s="1" t="s">
        <v>1161</v>
      </c>
    </row>
    <row r="163" spans="1:15" x14ac:dyDescent="0.25">
      <c r="A163" s="4">
        <v>159</v>
      </c>
      <c r="B163" s="2" t="str">
        <f>HYPERLINK("https://my.zakupki.prom.ua/remote/dispatcher/state_purchase_view/17964907", "UA-2020-07-20-000049-b")</f>
        <v>UA-2020-07-20-000049-b</v>
      </c>
      <c r="C163" s="2" t="str">
        <f>HYPERLINK("https://my.zakupki.prom.ua/remote/dispatcher/state_contracting_view/4871474", "UA-2020-07-20-000049-b-b1")</f>
        <v>UA-2020-07-20-000049-b-b1</v>
      </c>
      <c r="D163" s="1" t="s">
        <v>956</v>
      </c>
      <c r="E163" s="1" t="s">
        <v>957</v>
      </c>
      <c r="F163" s="1" t="s">
        <v>655</v>
      </c>
      <c r="G163" s="1" t="s">
        <v>860</v>
      </c>
      <c r="H163" s="1" t="s">
        <v>868</v>
      </c>
      <c r="I163" s="1" t="s">
        <v>9</v>
      </c>
      <c r="J163" s="1" t="s">
        <v>212</v>
      </c>
      <c r="K163" s="5">
        <v>3264</v>
      </c>
      <c r="L163" s="6">
        <v>44029</v>
      </c>
      <c r="M163" s="6">
        <v>44196</v>
      </c>
      <c r="N163" s="1" t="s">
        <v>1127</v>
      </c>
      <c r="O163" s="1" t="s">
        <v>1161</v>
      </c>
    </row>
    <row r="164" spans="1:15" x14ac:dyDescent="0.25">
      <c r="A164" s="4">
        <v>160</v>
      </c>
      <c r="B164" s="2" t="str">
        <f>HYPERLINK("https://my.zakupki.prom.ua/remote/dispatcher/state_purchase_view/15688233", "UA-2020-03-11-000012-b")</f>
        <v>UA-2020-03-11-000012-b</v>
      </c>
      <c r="C164" s="2" t="str">
        <f>HYPERLINK("https://my.zakupki.prom.ua/remote/dispatcher/state_contracting_view/3915610", "UA-2020-03-11-000012-b-b1")</f>
        <v>UA-2020-03-11-000012-b-b1</v>
      </c>
      <c r="D164" s="1" t="s">
        <v>479</v>
      </c>
      <c r="E164" s="1" t="s">
        <v>479</v>
      </c>
      <c r="F164" s="1" t="s">
        <v>478</v>
      </c>
      <c r="G164" s="1" t="s">
        <v>860</v>
      </c>
      <c r="H164" s="1" t="s">
        <v>1120</v>
      </c>
      <c r="I164" s="1" t="s">
        <v>214</v>
      </c>
      <c r="J164" s="1" t="s">
        <v>35</v>
      </c>
      <c r="K164" s="5">
        <v>50000</v>
      </c>
      <c r="L164" s="6">
        <v>43900</v>
      </c>
      <c r="M164" s="6">
        <v>44196</v>
      </c>
      <c r="N164" s="1" t="s">
        <v>1127</v>
      </c>
      <c r="O164" s="1" t="s">
        <v>1161</v>
      </c>
    </row>
    <row r="165" spans="1:15" x14ac:dyDescent="0.25">
      <c r="A165" s="4">
        <v>161</v>
      </c>
      <c r="B165" s="2" t="str">
        <f>HYPERLINK("https://my.zakupki.prom.ua/remote/dispatcher/state_purchase_view/16027824", "UA-2020-03-30-002242-b")</f>
        <v>UA-2020-03-30-002242-b</v>
      </c>
      <c r="C165" s="2" t="str">
        <f>HYPERLINK("https://my.zakupki.prom.ua/remote/dispatcher/state_contracting_view/4024933", "UA-2020-03-30-002242-b-b1")</f>
        <v>UA-2020-03-30-002242-b-b1</v>
      </c>
      <c r="D165" s="1" t="s">
        <v>545</v>
      </c>
      <c r="E165" s="1" t="s">
        <v>544</v>
      </c>
      <c r="F165" s="1" t="s">
        <v>543</v>
      </c>
      <c r="G165" s="1" t="s">
        <v>860</v>
      </c>
      <c r="H165" s="1" t="s">
        <v>872</v>
      </c>
      <c r="I165" s="1" t="s">
        <v>246</v>
      </c>
      <c r="J165" s="1" t="s">
        <v>70</v>
      </c>
      <c r="K165" s="5">
        <v>300000</v>
      </c>
      <c r="L165" s="6">
        <v>43920</v>
      </c>
      <c r="M165" s="6">
        <v>44196</v>
      </c>
      <c r="N165" s="1" t="s">
        <v>1127</v>
      </c>
      <c r="O165" s="1" t="s">
        <v>1161</v>
      </c>
    </row>
    <row r="166" spans="1:15" x14ac:dyDescent="0.25">
      <c r="A166" s="4">
        <v>162</v>
      </c>
      <c r="B166" s="2" t="str">
        <f>HYPERLINK("https://my.zakupki.prom.ua/remote/dispatcher/state_purchase_view/16273143", "UA-2020-04-14-004207-b")</f>
        <v>UA-2020-04-14-004207-b</v>
      </c>
      <c r="C166" s="2" t="str">
        <f>HYPERLINK("https://my.zakupki.prom.ua/remote/dispatcher/state_contracting_view/4110440", "UA-2020-04-14-004207-b-b1")</f>
        <v>UA-2020-04-14-004207-b-b1</v>
      </c>
      <c r="D166" s="1" t="s">
        <v>393</v>
      </c>
      <c r="E166" s="1" t="s">
        <v>393</v>
      </c>
      <c r="F166" s="1" t="s">
        <v>388</v>
      </c>
      <c r="G166" s="1" t="s">
        <v>860</v>
      </c>
      <c r="H166" s="1" t="s">
        <v>908</v>
      </c>
      <c r="I166" s="1" t="s">
        <v>211</v>
      </c>
      <c r="J166" s="1" t="s">
        <v>84</v>
      </c>
      <c r="K166" s="5">
        <v>200000</v>
      </c>
      <c r="L166" s="6">
        <v>43935</v>
      </c>
      <c r="M166" s="6">
        <v>44196</v>
      </c>
      <c r="N166" s="1" t="s">
        <v>1127</v>
      </c>
      <c r="O166" s="1" t="s">
        <v>1161</v>
      </c>
    </row>
    <row r="167" spans="1:15" x14ac:dyDescent="0.25">
      <c r="A167" s="4">
        <v>163</v>
      </c>
      <c r="B167" s="2" t="str">
        <f>HYPERLINK("https://my.zakupki.prom.ua/remote/dispatcher/state_purchase_view/16250891", "UA-2020-04-14-000022-b")</f>
        <v>UA-2020-04-14-000022-b</v>
      </c>
      <c r="C167" s="2" t="str">
        <f>HYPERLINK("https://my.zakupki.prom.ua/remote/dispatcher/state_contracting_view/4102406", "UA-2020-04-14-000022-b-b1")</f>
        <v>UA-2020-04-14-000022-b-b1</v>
      </c>
      <c r="D167" s="1" t="s">
        <v>261</v>
      </c>
      <c r="E167" s="1" t="s">
        <v>261</v>
      </c>
      <c r="F167" s="1" t="s">
        <v>260</v>
      </c>
      <c r="G167" s="1" t="s">
        <v>860</v>
      </c>
      <c r="H167" s="1" t="s">
        <v>1049</v>
      </c>
      <c r="I167" s="1" t="s">
        <v>271</v>
      </c>
      <c r="J167" s="1" t="s">
        <v>82</v>
      </c>
      <c r="K167" s="5">
        <v>100000</v>
      </c>
      <c r="L167" s="6">
        <v>43934</v>
      </c>
      <c r="M167" s="6">
        <v>44196</v>
      </c>
      <c r="N167" s="1" t="s">
        <v>1127</v>
      </c>
      <c r="O167" s="1" t="s">
        <v>1161</v>
      </c>
    </row>
    <row r="168" spans="1:15" x14ac:dyDescent="0.25">
      <c r="A168" s="4">
        <v>164</v>
      </c>
      <c r="B168" s="2" t="str">
        <f>HYPERLINK("https://my.zakupki.prom.ua/remote/dispatcher/state_purchase_view/17024072", "UA-2020-06-03-004814-b")</f>
        <v>UA-2020-06-03-004814-b</v>
      </c>
      <c r="C168" s="2" t="str">
        <f>HYPERLINK("https://my.zakupki.prom.ua/remote/dispatcher/state_contracting_view/4433797", "UA-2020-06-03-004814-b-b1")</f>
        <v>UA-2020-06-03-004814-b-b1</v>
      </c>
      <c r="D168" s="1" t="s">
        <v>739</v>
      </c>
      <c r="E168" s="1" t="s">
        <v>1156</v>
      </c>
      <c r="F168" s="1" t="s">
        <v>740</v>
      </c>
      <c r="G168" s="1" t="s">
        <v>860</v>
      </c>
      <c r="H168" s="1" t="s">
        <v>1023</v>
      </c>
      <c r="I168" s="1" t="s">
        <v>487</v>
      </c>
      <c r="J168" s="1" t="s">
        <v>125</v>
      </c>
      <c r="K168" s="5">
        <v>100</v>
      </c>
      <c r="L168" s="6">
        <v>43983</v>
      </c>
      <c r="M168" s="6">
        <v>44196</v>
      </c>
      <c r="N168" s="1" t="s">
        <v>1127</v>
      </c>
      <c r="O168" s="1" t="s">
        <v>1161</v>
      </c>
    </row>
    <row r="169" spans="1:15" x14ac:dyDescent="0.25">
      <c r="A169" s="4">
        <v>165</v>
      </c>
      <c r="B169" s="2" t="str">
        <f>HYPERLINK("https://my.zakupki.prom.ua/remote/dispatcher/state_purchase_view/17353472", "UA-2020-06-18-007963-c")</f>
        <v>UA-2020-06-18-007963-c</v>
      </c>
      <c r="C169" s="2" t="str">
        <f>HYPERLINK("https://my.zakupki.prom.ua/remote/dispatcher/state_contracting_view/4585180", "UA-2020-06-18-007963-c-c1")</f>
        <v>UA-2020-06-18-007963-c-c1</v>
      </c>
      <c r="D169" s="1" t="s">
        <v>1150</v>
      </c>
      <c r="E169" s="1" t="s">
        <v>976</v>
      </c>
      <c r="F169" s="1" t="s">
        <v>681</v>
      </c>
      <c r="G169" s="1" t="s">
        <v>860</v>
      </c>
      <c r="H169" s="1" t="s">
        <v>765</v>
      </c>
      <c r="I169" s="1" t="s">
        <v>170</v>
      </c>
      <c r="J169" s="1" t="s">
        <v>3</v>
      </c>
      <c r="K169" s="5">
        <v>6753.6</v>
      </c>
      <c r="L169" s="6">
        <v>43997</v>
      </c>
      <c r="M169" s="6">
        <v>44196</v>
      </c>
      <c r="N169" s="1" t="s">
        <v>1127</v>
      </c>
      <c r="O169" s="1" t="s">
        <v>1161</v>
      </c>
    </row>
    <row r="170" spans="1:15" x14ac:dyDescent="0.25">
      <c r="A170" s="4">
        <v>166</v>
      </c>
      <c r="B170" s="2" t="str">
        <f>HYPERLINK("https://my.zakupki.prom.ua/remote/dispatcher/state_purchase_view/17364283", "UA-2020-06-19-001956-c")</f>
        <v>UA-2020-06-19-001956-c</v>
      </c>
      <c r="C170" s="2" t="str">
        <f>HYPERLINK("https://my.zakupki.prom.ua/remote/dispatcher/state_contracting_view/4590347", "UA-2020-06-19-001956-c-c1")</f>
        <v>UA-2020-06-19-001956-c-c1</v>
      </c>
      <c r="D170" s="1" t="s">
        <v>964</v>
      </c>
      <c r="E170" s="1" t="s">
        <v>947</v>
      </c>
      <c r="F170" s="1" t="s">
        <v>674</v>
      </c>
      <c r="G170" s="1" t="s">
        <v>860</v>
      </c>
      <c r="H170" s="1" t="s">
        <v>815</v>
      </c>
      <c r="I170" s="1" t="s">
        <v>7</v>
      </c>
      <c r="J170" s="1" t="s">
        <v>664</v>
      </c>
      <c r="K170" s="5">
        <v>278.16000000000003</v>
      </c>
      <c r="L170" s="6">
        <v>43998</v>
      </c>
      <c r="M170" s="6">
        <v>44196</v>
      </c>
      <c r="N170" s="1" t="s">
        <v>1127</v>
      </c>
      <c r="O170" s="1" t="s">
        <v>1161</v>
      </c>
    </row>
    <row r="171" spans="1:15" x14ac:dyDescent="0.25">
      <c r="A171" s="4">
        <v>167</v>
      </c>
      <c r="B171" s="2" t="str">
        <f>HYPERLINK("https://my.zakupki.prom.ua/remote/dispatcher/state_purchase_view/15960972", "UA-2020-03-25-002674-b")</f>
        <v>UA-2020-03-25-002674-b</v>
      </c>
      <c r="C171" s="2" t="str">
        <f>HYPERLINK("https://my.zakupki.prom.ua/remote/dispatcher/state_contracting_view/4002444", "UA-2020-03-25-002674-b-b1")</f>
        <v>UA-2020-03-25-002674-b-b1</v>
      </c>
      <c r="D171" s="1" t="s">
        <v>386</v>
      </c>
      <c r="E171" s="1" t="s">
        <v>386</v>
      </c>
      <c r="F171" s="1" t="s">
        <v>385</v>
      </c>
      <c r="G171" s="1" t="s">
        <v>860</v>
      </c>
      <c r="H171" s="1" t="s">
        <v>779</v>
      </c>
      <c r="I171" s="1" t="s">
        <v>215</v>
      </c>
      <c r="J171" s="1" t="s">
        <v>50</v>
      </c>
      <c r="K171" s="5">
        <v>200000</v>
      </c>
      <c r="L171" s="6">
        <v>43915</v>
      </c>
      <c r="M171" s="6">
        <v>44196</v>
      </c>
      <c r="N171" s="1" t="s">
        <v>1127</v>
      </c>
      <c r="O171" s="1" t="s">
        <v>1161</v>
      </c>
    </row>
    <row r="172" spans="1:15" x14ac:dyDescent="0.25">
      <c r="A172" s="4">
        <v>168</v>
      </c>
      <c r="B172" s="2" t="str">
        <f>HYPERLINK("https://my.zakupki.prom.ua/remote/dispatcher/state_purchase_view/16510157", "UA-2020-04-29-002535-b")</f>
        <v>UA-2020-04-29-002535-b</v>
      </c>
      <c r="C172" s="2" t="str">
        <f>HYPERLINK("https://my.zakupki.prom.ua/remote/dispatcher/state_contracting_view/4206277", "UA-2020-04-29-002535-b-b1")</f>
        <v>UA-2020-04-29-002535-b-b1</v>
      </c>
      <c r="D172" s="1" t="s">
        <v>370</v>
      </c>
      <c r="E172" s="1" t="s">
        <v>371</v>
      </c>
      <c r="F172" s="1" t="s">
        <v>369</v>
      </c>
      <c r="G172" s="1" t="s">
        <v>860</v>
      </c>
      <c r="H172" s="1" t="s">
        <v>1118</v>
      </c>
      <c r="I172" s="1" t="s">
        <v>250</v>
      </c>
      <c r="J172" s="1" t="s">
        <v>102</v>
      </c>
      <c r="K172" s="5">
        <v>10000</v>
      </c>
      <c r="L172" s="6">
        <v>43950</v>
      </c>
      <c r="M172" s="6">
        <v>44196</v>
      </c>
      <c r="N172" s="1" t="s">
        <v>1127</v>
      </c>
      <c r="O172" s="1" t="s">
        <v>1161</v>
      </c>
    </row>
    <row r="173" spans="1:15" x14ac:dyDescent="0.25">
      <c r="A173" s="4">
        <v>169</v>
      </c>
      <c r="B173" s="2" t="str">
        <f>HYPERLINK("https://my.zakupki.prom.ua/remote/dispatcher/state_purchase_view/20181613", "UA-2020-10-16-010241-c")</f>
        <v>UA-2020-10-16-010241-c</v>
      </c>
      <c r="C173" s="2" t="str">
        <f>HYPERLINK("https://my.zakupki.prom.ua/remote/dispatcher/state_contracting_view/5913680", "UA-2020-10-16-010241-c-c1")</f>
        <v>UA-2020-10-16-010241-c-c1</v>
      </c>
      <c r="D173" s="1" t="s">
        <v>278</v>
      </c>
      <c r="E173" s="1" t="s">
        <v>1134</v>
      </c>
      <c r="F173" s="1" t="s">
        <v>277</v>
      </c>
      <c r="G173" s="1" t="s">
        <v>860</v>
      </c>
      <c r="H173" s="1" t="s">
        <v>1040</v>
      </c>
      <c r="I173" s="1" t="s">
        <v>474</v>
      </c>
      <c r="J173" s="1" t="s">
        <v>368</v>
      </c>
      <c r="K173" s="5">
        <v>45605</v>
      </c>
      <c r="L173" s="6">
        <v>44117</v>
      </c>
      <c r="M173" s="6">
        <v>44196</v>
      </c>
      <c r="N173" s="1" t="s">
        <v>1127</v>
      </c>
      <c r="O173" s="1" t="s">
        <v>1161</v>
      </c>
    </row>
    <row r="174" spans="1:15" x14ac:dyDescent="0.25">
      <c r="A174" s="4">
        <v>170</v>
      </c>
      <c r="B174" s="2" t="str">
        <f>HYPERLINK("https://my.zakupki.prom.ua/remote/dispatcher/state_purchase_view/20716596", "UA-2020-11-03-009644-c")</f>
        <v>UA-2020-11-03-009644-c</v>
      </c>
      <c r="C174" s="2" t="str">
        <f>HYPERLINK("https://my.zakupki.prom.ua/remote/dispatcher/state_contracting_view/6172789", "UA-2020-11-03-009644-c-c1")</f>
        <v>UA-2020-11-03-009644-c-c1</v>
      </c>
      <c r="D174" s="1" t="s">
        <v>760</v>
      </c>
      <c r="E174" s="1" t="s">
        <v>760</v>
      </c>
      <c r="F174" s="1" t="s">
        <v>358</v>
      </c>
      <c r="G174" s="1" t="s">
        <v>860</v>
      </c>
      <c r="H174" s="1" t="s">
        <v>1078</v>
      </c>
      <c r="I174" s="1" t="s">
        <v>563</v>
      </c>
      <c r="J174" s="1" t="s">
        <v>6</v>
      </c>
      <c r="K174" s="5">
        <v>2895</v>
      </c>
      <c r="L174" s="6">
        <v>44138</v>
      </c>
      <c r="M174" s="6">
        <v>44196</v>
      </c>
      <c r="N174" s="1" t="s">
        <v>1127</v>
      </c>
      <c r="O174" s="1" t="s">
        <v>1161</v>
      </c>
    </row>
    <row r="175" spans="1:15" x14ac:dyDescent="0.25">
      <c r="A175" s="4">
        <v>171</v>
      </c>
      <c r="B175" s="2" t="str">
        <f>HYPERLINK("https://my.zakupki.prom.ua/remote/dispatcher/state_purchase_view/22033607", "UA-2020-12-11-000997-c")</f>
        <v>UA-2020-12-11-000997-c</v>
      </c>
      <c r="C175" s="2" t="str">
        <f>HYPERLINK("https://my.zakupki.prom.ua/remote/dispatcher/state_contracting_view/6791024", "UA-2020-12-11-000997-c-c1")</f>
        <v>UA-2020-12-11-000997-c-c1</v>
      </c>
      <c r="D175" s="1" t="s">
        <v>993</v>
      </c>
      <c r="E175" s="1" t="s">
        <v>1133</v>
      </c>
      <c r="F175" s="1" t="s">
        <v>554</v>
      </c>
      <c r="G175" s="1" t="s">
        <v>860</v>
      </c>
      <c r="H175" s="1" t="s">
        <v>1040</v>
      </c>
      <c r="I175" s="1" t="s">
        <v>474</v>
      </c>
      <c r="J175" s="1" t="s">
        <v>512</v>
      </c>
      <c r="K175" s="5">
        <v>23082</v>
      </c>
      <c r="L175" s="6">
        <v>44174</v>
      </c>
      <c r="M175" s="6">
        <v>44196</v>
      </c>
      <c r="N175" s="1" t="s">
        <v>1127</v>
      </c>
      <c r="O175" s="1" t="s">
        <v>1161</v>
      </c>
    </row>
    <row r="176" spans="1:15" x14ac:dyDescent="0.25">
      <c r="A176" s="4">
        <v>172</v>
      </c>
      <c r="B176" s="2" t="str">
        <f>HYPERLINK("https://my.zakupki.prom.ua/remote/dispatcher/state_purchase_view/20031782", "UA-2020-10-12-004265-c")</f>
        <v>UA-2020-10-12-004265-c</v>
      </c>
      <c r="C176" s="2" t="str">
        <f>HYPERLINK("https://my.zakupki.prom.ua/remote/dispatcher/state_contracting_view/6390423", "UA-2020-10-12-004265-c-c1")</f>
        <v>UA-2020-10-12-004265-c-c1</v>
      </c>
      <c r="D176" s="1" t="s">
        <v>561</v>
      </c>
      <c r="E176" s="1" t="s">
        <v>1135</v>
      </c>
      <c r="F176" s="1" t="s">
        <v>562</v>
      </c>
      <c r="G176" s="1" t="s">
        <v>802</v>
      </c>
      <c r="H176" s="1" t="s">
        <v>1020</v>
      </c>
      <c r="I176" s="1" t="s">
        <v>547</v>
      </c>
      <c r="J176" s="1" t="s">
        <v>452</v>
      </c>
      <c r="K176" s="5">
        <v>1405750</v>
      </c>
      <c r="L176" s="6">
        <v>44151</v>
      </c>
      <c r="M176" s="6">
        <v>44196</v>
      </c>
      <c r="N176" s="1" t="s">
        <v>1136</v>
      </c>
      <c r="O176" s="1" t="s">
        <v>1161</v>
      </c>
    </row>
    <row r="177" spans="1:15" x14ac:dyDescent="0.25">
      <c r="A177" s="4">
        <v>173</v>
      </c>
      <c r="B177" s="2" t="str">
        <f>HYPERLINK("https://my.zakupki.prom.ua/remote/dispatcher/state_purchase_view/18828470", "UA-2020-08-27-002601-c")</f>
        <v>UA-2020-08-27-002601-c</v>
      </c>
      <c r="C177" s="2" t="str">
        <f>HYPERLINK("https://my.zakupki.prom.ua/remote/dispatcher/state_contracting_view/5550502", "UA-2020-08-27-002601-c-b1")</f>
        <v>UA-2020-08-27-002601-c-b1</v>
      </c>
      <c r="D177" s="1" t="s">
        <v>903</v>
      </c>
      <c r="E177" s="1" t="s">
        <v>1119</v>
      </c>
      <c r="F177" s="1" t="s">
        <v>641</v>
      </c>
      <c r="G177" s="1" t="s">
        <v>843</v>
      </c>
      <c r="H177" s="1" t="s">
        <v>1018</v>
      </c>
      <c r="I177" s="1" t="s">
        <v>357</v>
      </c>
      <c r="J177" s="1" t="s">
        <v>272</v>
      </c>
      <c r="K177" s="5">
        <v>25893.599999999999</v>
      </c>
      <c r="L177" s="6">
        <v>44092</v>
      </c>
      <c r="M177" s="6">
        <v>44196</v>
      </c>
      <c r="N177" s="1" t="s">
        <v>1136</v>
      </c>
      <c r="O177" s="1" t="s">
        <v>1161</v>
      </c>
    </row>
    <row r="178" spans="1:15" x14ac:dyDescent="0.25">
      <c r="A178" s="4">
        <v>174</v>
      </c>
      <c r="B178" s="2" t="str">
        <f>HYPERLINK("https://my.zakupki.prom.ua/remote/dispatcher/state_purchase_view/18956842", "UA-2020-09-02-011348-b")</f>
        <v>UA-2020-09-02-011348-b</v>
      </c>
      <c r="C178" s="2" t="str">
        <f>HYPERLINK("https://my.zakupki.prom.ua/remote/dispatcher/state_contracting_view/5550147", "UA-2020-09-02-011348-b-b1")</f>
        <v>UA-2020-09-02-011348-b-b1</v>
      </c>
      <c r="D178" s="1" t="s">
        <v>875</v>
      </c>
      <c r="E178" s="1" t="s">
        <v>874</v>
      </c>
      <c r="F178" s="1" t="s">
        <v>599</v>
      </c>
      <c r="G178" s="1" t="s">
        <v>940</v>
      </c>
      <c r="H178" s="1" t="s">
        <v>1064</v>
      </c>
      <c r="I178" s="1" t="s">
        <v>195</v>
      </c>
      <c r="J178" s="1" t="s">
        <v>265</v>
      </c>
      <c r="K178" s="5">
        <v>511999.2</v>
      </c>
      <c r="L178" s="6">
        <v>44092</v>
      </c>
      <c r="M178" s="6">
        <v>44196</v>
      </c>
      <c r="N178" s="1" t="s">
        <v>1136</v>
      </c>
      <c r="O178" s="1" t="s">
        <v>1161</v>
      </c>
    </row>
    <row r="179" spans="1:15" x14ac:dyDescent="0.25">
      <c r="A179" s="4">
        <v>175</v>
      </c>
      <c r="B179" s="2" t="str">
        <f>HYPERLINK("https://my.zakupki.prom.ua/remote/dispatcher/state_purchase_view/17335416", "UA-2020-06-18-003220-c")</f>
        <v>UA-2020-06-18-003220-c</v>
      </c>
      <c r="C179" s="2" t="str">
        <f>HYPERLINK("https://my.zakupki.prom.ua/remote/dispatcher/state_contracting_view/4858733", "UA-2020-06-18-003220-c-a1")</f>
        <v>UA-2020-06-18-003220-c-a1</v>
      </c>
      <c r="D179" s="1" t="s">
        <v>767</v>
      </c>
      <c r="E179" s="1" t="s">
        <v>891</v>
      </c>
      <c r="F179" s="1" t="s">
        <v>54</v>
      </c>
      <c r="G179" s="1" t="s">
        <v>843</v>
      </c>
      <c r="H179" s="1" t="s">
        <v>1014</v>
      </c>
      <c r="I179" s="1" t="s">
        <v>379</v>
      </c>
      <c r="J179" s="1" t="s">
        <v>205</v>
      </c>
      <c r="K179" s="5">
        <v>23470.080000000002</v>
      </c>
      <c r="L179" s="6">
        <v>44027</v>
      </c>
      <c r="M179" s="6">
        <v>44196</v>
      </c>
      <c r="N179" s="1" t="s">
        <v>1136</v>
      </c>
      <c r="O179" s="1" t="s">
        <v>1161</v>
      </c>
    </row>
    <row r="180" spans="1:15" x14ac:dyDescent="0.25">
      <c r="A180" s="4">
        <v>176</v>
      </c>
      <c r="B180" s="2" t="str">
        <f>HYPERLINK("https://my.zakupki.prom.ua/remote/dispatcher/state_purchase_view/18372349", "UA-2020-08-06-006960-a")</f>
        <v>UA-2020-08-06-006960-a</v>
      </c>
      <c r="C180" s="2" t="str">
        <f>HYPERLINK("https://my.zakupki.prom.ua/remote/dispatcher/state_contracting_view/5374163", "UA-2020-08-06-006960-a-a1")</f>
        <v>UA-2020-08-06-006960-a-a1</v>
      </c>
      <c r="D180" s="1" t="s">
        <v>965</v>
      </c>
      <c r="E180" s="1" t="s">
        <v>965</v>
      </c>
      <c r="F180" s="1" t="s">
        <v>674</v>
      </c>
      <c r="G180" s="1" t="s">
        <v>843</v>
      </c>
      <c r="H180" s="1" t="s">
        <v>835</v>
      </c>
      <c r="I180" s="1" t="s">
        <v>7</v>
      </c>
      <c r="J180" s="1" t="s">
        <v>247</v>
      </c>
      <c r="K180" s="5">
        <v>3174.6</v>
      </c>
      <c r="L180" s="6">
        <v>44078</v>
      </c>
      <c r="M180" s="6">
        <v>44196</v>
      </c>
      <c r="N180" s="1" t="s">
        <v>1136</v>
      </c>
      <c r="O180" s="1" t="s">
        <v>1161</v>
      </c>
    </row>
    <row r="181" spans="1:15" x14ac:dyDescent="0.25">
      <c r="A181" s="4">
        <v>177</v>
      </c>
      <c r="B181" s="2" t="str">
        <f>HYPERLINK("https://my.zakupki.prom.ua/remote/dispatcher/state_purchase_view/17433934", "UA-2020-06-23-002400-a")</f>
        <v>UA-2020-06-23-002400-a</v>
      </c>
      <c r="C181" s="2" t="str">
        <f>HYPERLINK("https://my.zakupki.prom.ua/remote/dispatcher/state_contracting_view/4989709", "UA-2020-06-23-002400-a-c1")</f>
        <v>UA-2020-06-23-002400-a-c1</v>
      </c>
      <c r="D181" s="1" t="s">
        <v>761</v>
      </c>
      <c r="E181" s="1" t="s">
        <v>942</v>
      </c>
      <c r="F181" s="1" t="s">
        <v>659</v>
      </c>
      <c r="G181" s="1" t="s">
        <v>843</v>
      </c>
      <c r="H181" s="1" t="s">
        <v>1030</v>
      </c>
      <c r="I181" s="1" t="s">
        <v>457</v>
      </c>
      <c r="J181" s="1" t="s">
        <v>223</v>
      </c>
      <c r="K181" s="5">
        <v>399000</v>
      </c>
      <c r="L181" s="6">
        <v>44039</v>
      </c>
      <c r="M181" s="6">
        <v>44196</v>
      </c>
      <c r="N181" s="1" t="s">
        <v>1136</v>
      </c>
      <c r="O181" s="1" t="s">
        <v>1161</v>
      </c>
    </row>
    <row r="182" spans="1:15" x14ac:dyDescent="0.25">
      <c r="A182" s="4">
        <v>178</v>
      </c>
      <c r="B182" s="2" t="str">
        <f>HYPERLINK("https://my.zakupki.prom.ua/remote/dispatcher/state_purchase_view/21364640", "UA-2020-11-24-002308-c")</f>
        <v>UA-2020-11-24-002308-c</v>
      </c>
      <c r="C182" s="2" t="str">
        <f>HYPERLINK("https://my.zakupki.prom.ua/remote/dispatcher/state_contracting_view/6777727", "UA-2020-11-24-002308-c-b1")</f>
        <v>UA-2020-11-24-002308-c-b1</v>
      </c>
      <c r="D182" s="1" t="s">
        <v>97</v>
      </c>
      <c r="E182" s="1" t="s">
        <v>1143</v>
      </c>
      <c r="F182" s="1" t="s">
        <v>96</v>
      </c>
      <c r="G182" s="1" t="s">
        <v>843</v>
      </c>
      <c r="H182" s="1" t="s">
        <v>1013</v>
      </c>
      <c r="I182" s="1" t="s">
        <v>216</v>
      </c>
      <c r="J182" s="1" t="s">
        <v>524</v>
      </c>
      <c r="K182" s="5">
        <v>187554</v>
      </c>
      <c r="L182" s="6">
        <v>44175</v>
      </c>
      <c r="M182" s="6">
        <v>44196</v>
      </c>
      <c r="N182" s="1" t="s">
        <v>1136</v>
      </c>
      <c r="O182" s="1" t="s">
        <v>1161</v>
      </c>
    </row>
    <row r="183" spans="1:15" x14ac:dyDescent="0.25">
      <c r="A183" s="4">
        <v>179</v>
      </c>
      <c r="B183" s="2" t="str">
        <f>HYPERLINK("https://my.zakupki.prom.ua/remote/dispatcher/state_purchase_view/14416024", "UA-2020-01-10-000031-c")</f>
        <v>UA-2020-01-10-000031-c</v>
      </c>
      <c r="C183" s="2" t="str">
        <f>HYPERLINK("https://my.zakupki.prom.ua/remote/dispatcher/state_contracting_view/3619592", "UA-2020-01-10-000031-c-c1")</f>
        <v>UA-2020-01-10-000031-c-c1</v>
      </c>
      <c r="D183" s="1" t="s">
        <v>56</v>
      </c>
      <c r="E183" s="1" t="s">
        <v>55</v>
      </c>
      <c r="F183" s="1" t="s">
        <v>54</v>
      </c>
      <c r="G183" s="1" t="s">
        <v>860</v>
      </c>
      <c r="H183" s="1" t="s">
        <v>1040</v>
      </c>
      <c r="I183" s="1" t="s">
        <v>474</v>
      </c>
      <c r="J183" s="1" t="s">
        <v>177</v>
      </c>
      <c r="K183" s="5">
        <v>100000</v>
      </c>
      <c r="L183" s="6">
        <v>43839</v>
      </c>
      <c r="M183" s="6">
        <v>44196</v>
      </c>
      <c r="N183" s="1" t="s">
        <v>1127</v>
      </c>
      <c r="O183" s="1" t="s">
        <v>1161</v>
      </c>
    </row>
    <row r="184" spans="1:15" x14ac:dyDescent="0.25">
      <c r="A184" s="4">
        <v>180</v>
      </c>
      <c r="B184" s="2" t="str">
        <f>HYPERLINK("https://my.zakupki.prom.ua/remote/dispatcher/state_purchase_view/14673039", "UA-2020-01-21-003897-a")</f>
        <v>UA-2020-01-21-003897-a</v>
      </c>
      <c r="C184" s="2" t="str">
        <f>HYPERLINK("https://my.zakupki.prom.ua/remote/dispatcher/state_contracting_view/3660808", "UA-2020-01-21-003897-a-a1")</f>
        <v>UA-2020-01-21-003897-a-a1</v>
      </c>
      <c r="D184" s="1" t="s">
        <v>118</v>
      </c>
      <c r="E184" s="1" t="s">
        <v>119</v>
      </c>
      <c r="F184" s="1" t="s">
        <v>117</v>
      </c>
      <c r="G184" s="1" t="s">
        <v>860</v>
      </c>
      <c r="H184" s="1" t="s">
        <v>788</v>
      </c>
      <c r="I184" s="1" t="s">
        <v>373</v>
      </c>
      <c r="J184" s="1" t="s">
        <v>660</v>
      </c>
      <c r="K184" s="5">
        <v>150000</v>
      </c>
      <c r="L184" s="6">
        <v>43851</v>
      </c>
      <c r="M184" s="6">
        <v>44196</v>
      </c>
      <c r="N184" s="1" t="s">
        <v>1127</v>
      </c>
      <c r="O184" s="1" t="s">
        <v>1161</v>
      </c>
    </row>
    <row r="185" spans="1:15" x14ac:dyDescent="0.25">
      <c r="A185" s="4">
        <v>181</v>
      </c>
      <c r="B185" s="2" t="str">
        <f>HYPERLINK("https://my.zakupki.prom.ua/remote/dispatcher/state_purchase_view/14892117", "UA-2020-01-28-002189-b")</f>
        <v>UA-2020-01-28-002189-b</v>
      </c>
      <c r="C185" s="2" t="str">
        <f>HYPERLINK("https://my.zakupki.prom.ua/remote/dispatcher/state_contracting_view/3704883", "UA-2020-01-28-002189-b-b1")</f>
        <v>UA-2020-01-28-002189-b-b1</v>
      </c>
      <c r="D185" s="1" t="s">
        <v>480</v>
      </c>
      <c r="E185" s="1" t="s">
        <v>481</v>
      </c>
      <c r="F185" s="1" t="s">
        <v>478</v>
      </c>
      <c r="G185" s="1" t="s">
        <v>860</v>
      </c>
      <c r="H185" s="1" t="s">
        <v>1108</v>
      </c>
      <c r="I185" s="1" t="s">
        <v>299</v>
      </c>
      <c r="J185" s="1" t="s">
        <v>699</v>
      </c>
      <c r="K185" s="5">
        <v>80000</v>
      </c>
      <c r="L185" s="6">
        <v>43858</v>
      </c>
      <c r="M185" s="6">
        <v>44196</v>
      </c>
      <c r="N185" s="1" t="s">
        <v>1127</v>
      </c>
      <c r="O185" s="1" t="s">
        <v>1161</v>
      </c>
    </row>
    <row r="186" spans="1:15" x14ac:dyDescent="0.25">
      <c r="A186" s="4">
        <v>182</v>
      </c>
      <c r="B186" s="2" t="str">
        <f>HYPERLINK("https://my.zakupki.prom.ua/remote/dispatcher/state_purchase_view/20180598", "UA-2020-10-16-009894-c")</f>
        <v>UA-2020-10-16-009894-c</v>
      </c>
      <c r="C186" s="2" t="str">
        <f>HYPERLINK("https://my.zakupki.prom.ua/remote/dispatcher/state_contracting_view/5913002", "UA-2020-10-16-009894-c-c1")</f>
        <v>UA-2020-10-16-009894-c-c1</v>
      </c>
      <c r="D186" s="1" t="s">
        <v>486</v>
      </c>
      <c r="E186" s="1" t="s">
        <v>1155</v>
      </c>
      <c r="F186" s="1" t="s">
        <v>485</v>
      </c>
      <c r="G186" s="1" t="s">
        <v>860</v>
      </c>
      <c r="H186" s="1" t="s">
        <v>931</v>
      </c>
      <c r="I186" s="1" t="s">
        <v>431</v>
      </c>
      <c r="J186" s="1" t="s">
        <v>366</v>
      </c>
      <c r="K186" s="5">
        <v>49976.4</v>
      </c>
      <c r="L186" s="6">
        <v>44117</v>
      </c>
      <c r="M186" s="6">
        <v>44196</v>
      </c>
      <c r="N186" s="1" t="s">
        <v>1127</v>
      </c>
      <c r="O186" s="1" t="s">
        <v>1161</v>
      </c>
    </row>
    <row r="187" spans="1:15" x14ac:dyDescent="0.25">
      <c r="A187" s="4">
        <v>183</v>
      </c>
      <c r="B187" s="2" t="str">
        <f>HYPERLINK("https://my.zakupki.prom.ua/remote/dispatcher/state_purchase_view/16205575", "UA-2020-04-10-001099-b")</f>
        <v>UA-2020-04-10-001099-b</v>
      </c>
      <c r="C187" s="2" t="str">
        <f>HYPERLINK("https://my.zakupki.prom.ua/remote/dispatcher/state_contracting_view/4087092", "UA-2020-04-10-001099-b-b1")</f>
        <v>UA-2020-04-10-001099-b-b1</v>
      </c>
      <c r="D187" s="1" t="s">
        <v>817</v>
      </c>
      <c r="E187" s="1" t="s">
        <v>817</v>
      </c>
      <c r="F187" s="1" t="s">
        <v>715</v>
      </c>
      <c r="G187" s="1" t="s">
        <v>860</v>
      </c>
      <c r="H187" s="1" t="s">
        <v>1082</v>
      </c>
      <c r="I187" s="1" t="s">
        <v>140</v>
      </c>
      <c r="J187" s="1" t="s">
        <v>899</v>
      </c>
      <c r="K187" s="5">
        <v>463680</v>
      </c>
      <c r="L187" s="6">
        <v>43930</v>
      </c>
      <c r="M187" s="6">
        <v>44196</v>
      </c>
      <c r="N187" s="1" t="s">
        <v>1127</v>
      </c>
      <c r="O187" s="1" t="s">
        <v>1161</v>
      </c>
    </row>
    <row r="188" spans="1:15" x14ac:dyDescent="0.25">
      <c r="A188" s="4">
        <v>184</v>
      </c>
      <c r="B188" s="2" t="str">
        <f>HYPERLINK("https://my.zakupki.prom.ua/remote/dispatcher/state_purchase_view/16511006", "UA-2020-04-29-002717-b")</f>
        <v>UA-2020-04-29-002717-b</v>
      </c>
      <c r="C188" s="2" t="str">
        <f>HYPERLINK("https://my.zakupki.prom.ua/remote/dispatcher/state_contracting_view/4206669", "UA-2020-04-29-002717-b-b1")</f>
        <v>UA-2020-04-29-002717-b-b1</v>
      </c>
      <c r="D188" s="1" t="s">
        <v>424</v>
      </c>
      <c r="E188" s="1" t="s">
        <v>424</v>
      </c>
      <c r="F188" s="1" t="s">
        <v>423</v>
      </c>
      <c r="G188" s="1" t="s">
        <v>860</v>
      </c>
      <c r="H188" s="1" t="s">
        <v>1061</v>
      </c>
      <c r="I188" s="1" t="s">
        <v>459</v>
      </c>
      <c r="J188" s="1" t="s">
        <v>102</v>
      </c>
      <c r="K188" s="5">
        <v>49900</v>
      </c>
      <c r="L188" s="6">
        <v>43950</v>
      </c>
      <c r="M188" s="6">
        <v>44196</v>
      </c>
      <c r="N188" s="1" t="s">
        <v>1127</v>
      </c>
      <c r="O188" s="1" t="s">
        <v>1161</v>
      </c>
    </row>
    <row r="189" spans="1:15" x14ac:dyDescent="0.25">
      <c r="A189" s="4">
        <v>185</v>
      </c>
      <c r="B189" s="2" t="str">
        <f>HYPERLINK("https://my.zakupki.prom.ua/remote/dispatcher/state_purchase_view/15116511", "UA-2020-02-05-004307-b")</f>
        <v>UA-2020-02-05-004307-b</v>
      </c>
      <c r="C189" s="2" t="str">
        <f>HYPERLINK("https://my.zakupki.prom.ua/remote/dispatcher/state_contracting_view/3756922", "UA-2020-02-05-004307-b-b1")</f>
        <v>UA-2020-02-05-004307-b-b1</v>
      </c>
      <c r="D189" s="1" t="s">
        <v>68</v>
      </c>
      <c r="E189" s="1" t="s">
        <v>69</v>
      </c>
      <c r="F189" s="1" t="s">
        <v>67</v>
      </c>
      <c r="G189" s="1" t="s">
        <v>860</v>
      </c>
      <c r="H189" s="1" t="s">
        <v>933</v>
      </c>
      <c r="I189" s="1" t="s">
        <v>534</v>
      </c>
      <c r="J189" s="1" t="s">
        <v>746</v>
      </c>
      <c r="K189" s="5">
        <v>45000</v>
      </c>
      <c r="L189" s="6">
        <v>43866</v>
      </c>
      <c r="M189" s="6">
        <v>44196</v>
      </c>
      <c r="N189" s="1" t="s">
        <v>1127</v>
      </c>
      <c r="O189" s="1" t="s">
        <v>1161</v>
      </c>
    </row>
    <row r="190" spans="1:15" x14ac:dyDescent="0.25">
      <c r="A190" s="4">
        <v>186</v>
      </c>
      <c r="B190" s="2" t="str">
        <f>HYPERLINK("https://my.zakupki.prom.ua/remote/dispatcher/state_purchase_view/15913343", "UA-2020-03-23-003515-b")</f>
        <v>UA-2020-03-23-003515-b</v>
      </c>
      <c r="C190" s="2" t="str">
        <f>HYPERLINK("https://my.zakupki.prom.ua/remote/dispatcher/state_contracting_view/3985411", "UA-2020-03-23-003515-b-b1")</f>
        <v>UA-2020-03-23-003515-b-b1</v>
      </c>
      <c r="D190" s="1" t="s">
        <v>416</v>
      </c>
      <c r="E190" s="1" t="s">
        <v>416</v>
      </c>
      <c r="F190" s="1" t="s">
        <v>414</v>
      </c>
      <c r="G190" s="1" t="s">
        <v>860</v>
      </c>
      <c r="H190" s="1" t="s">
        <v>1034</v>
      </c>
      <c r="I190" s="1" t="s">
        <v>513</v>
      </c>
      <c r="J190" s="1" t="s">
        <v>46</v>
      </c>
      <c r="K190" s="5">
        <v>314424</v>
      </c>
      <c r="L190" s="6">
        <v>43913</v>
      </c>
      <c r="M190" s="6">
        <v>44196</v>
      </c>
      <c r="N190" s="1" t="s">
        <v>1127</v>
      </c>
      <c r="O190" s="1" t="s">
        <v>1161</v>
      </c>
    </row>
    <row r="191" spans="1:15" x14ac:dyDescent="0.25">
      <c r="A191" s="4">
        <v>187</v>
      </c>
      <c r="B191" s="2" t="str">
        <f>HYPERLINK("https://my.zakupki.prom.ua/remote/dispatcher/state_purchase_view/16153910", "UA-2020-04-07-003590-b")</f>
        <v>UA-2020-04-07-003590-b</v>
      </c>
      <c r="C191" s="2" t="str">
        <f>HYPERLINK("https://my.zakupki.prom.ua/remote/dispatcher/state_contracting_view/4069470", "UA-2020-04-07-003590-b-b1")</f>
        <v>UA-2020-04-07-003590-b-b1</v>
      </c>
      <c r="D191" s="1" t="s">
        <v>375</v>
      </c>
      <c r="E191" s="1" t="s">
        <v>375</v>
      </c>
      <c r="F191" s="1" t="s">
        <v>374</v>
      </c>
      <c r="G191" s="1" t="s">
        <v>860</v>
      </c>
      <c r="H191" s="1" t="s">
        <v>1072</v>
      </c>
      <c r="I191" s="1" t="s">
        <v>441</v>
      </c>
      <c r="J191" s="1" t="s">
        <v>76</v>
      </c>
      <c r="K191" s="5">
        <v>80000</v>
      </c>
      <c r="L191" s="6">
        <v>43928</v>
      </c>
      <c r="M191" s="6">
        <v>44196</v>
      </c>
      <c r="N191" s="1" t="s">
        <v>1127</v>
      </c>
      <c r="O191" s="1" t="s">
        <v>1161</v>
      </c>
    </row>
    <row r="192" spans="1:15" x14ac:dyDescent="0.25">
      <c r="A192" s="4">
        <v>188</v>
      </c>
      <c r="B192" s="2" t="str">
        <f>HYPERLINK("https://my.zakupki.prom.ua/remote/dispatcher/state_purchase_view/17354778", "UA-2020-06-18-008290-c")</f>
        <v>UA-2020-06-18-008290-c</v>
      </c>
      <c r="C192" s="2" t="str">
        <f>HYPERLINK("https://my.zakupki.prom.ua/remote/dispatcher/state_contracting_view/4585888", "UA-2020-06-18-008290-c-c1")</f>
        <v>UA-2020-06-18-008290-c-c1</v>
      </c>
      <c r="D192" s="1" t="s">
        <v>974</v>
      </c>
      <c r="E192" s="1" t="s">
        <v>970</v>
      </c>
      <c r="F192" s="1" t="s">
        <v>714</v>
      </c>
      <c r="G192" s="1" t="s">
        <v>860</v>
      </c>
      <c r="H192" s="1" t="s">
        <v>869</v>
      </c>
      <c r="I192" s="1" t="s">
        <v>316</v>
      </c>
      <c r="J192" s="1" t="s">
        <v>143</v>
      </c>
      <c r="K192" s="5">
        <v>47619</v>
      </c>
      <c r="L192" s="6">
        <v>43997</v>
      </c>
      <c r="M192" s="6">
        <v>44196</v>
      </c>
      <c r="N192" s="1" t="s">
        <v>1127</v>
      </c>
      <c r="O192" s="1" t="s">
        <v>1161</v>
      </c>
    </row>
    <row r="193" spans="1:15" x14ac:dyDescent="0.25">
      <c r="A193" s="4">
        <v>189</v>
      </c>
      <c r="B193" s="2" t="str">
        <f>HYPERLINK("https://my.zakupki.prom.ua/remote/dispatcher/state_purchase_view/19610837", "UA-2020-09-25-006049-a")</f>
        <v>UA-2020-09-25-006049-a</v>
      </c>
      <c r="C193" s="2" t="str">
        <f>HYPERLINK("https://my.zakupki.prom.ua/remote/dispatcher/state_contracting_view/5647449", "UA-2020-09-25-006049-a-a1")</f>
        <v>UA-2020-09-25-006049-a-a1</v>
      </c>
      <c r="D193" s="1" t="s">
        <v>673</v>
      </c>
      <c r="E193" s="1" t="s">
        <v>949</v>
      </c>
      <c r="F193" s="1" t="s">
        <v>674</v>
      </c>
      <c r="G193" s="1" t="s">
        <v>860</v>
      </c>
      <c r="H193" s="1" t="s">
        <v>765</v>
      </c>
      <c r="I193" s="1" t="s">
        <v>170</v>
      </c>
      <c r="J193" s="1" t="s">
        <v>24</v>
      </c>
      <c r="K193" s="5">
        <v>33129.360000000001</v>
      </c>
      <c r="L193" s="6">
        <v>44097</v>
      </c>
      <c r="M193" s="6">
        <v>44196</v>
      </c>
      <c r="N193" s="1" t="s">
        <v>1127</v>
      </c>
      <c r="O193" s="1" t="s">
        <v>1161</v>
      </c>
    </row>
    <row r="194" spans="1:15" x14ac:dyDescent="0.25">
      <c r="A194" s="4">
        <v>190</v>
      </c>
      <c r="B194" s="2" t="str">
        <f>HYPERLINK("https://my.zakupki.prom.ua/remote/dispatcher/state_purchase_view/19221642", "UA-2020-09-11-011618-b")</f>
        <v>UA-2020-09-11-011618-b</v>
      </c>
      <c r="C194" s="2" t="str">
        <f>HYPERLINK("https://my.zakupki.prom.ua/remote/dispatcher/state_contracting_view/5471217", "UA-2020-09-11-011618-b-b1")</f>
        <v>UA-2020-09-11-011618-b-b1</v>
      </c>
      <c r="D194" s="1" t="s">
        <v>649</v>
      </c>
      <c r="E194" s="1" t="s">
        <v>984</v>
      </c>
      <c r="F194" s="1" t="s">
        <v>648</v>
      </c>
      <c r="G194" s="1" t="s">
        <v>860</v>
      </c>
      <c r="H194" s="1" t="s">
        <v>859</v>
      </c>
      <c r="I194" s="1" t="s">
        <v>360</v>
      </c>
      <c r="J194" s="1" t="s">
        <v>253</v>
      </c>
      <c r="K194" s="5">
        <v>16127.5</v>
      </c>
      <c r="L194" s="6">
        <v>44083</v>
      </c>
      <c r="M194" s="6">
        <v>44196</v>
      </c>
      <c r="N194" s="1" t="s">
        <v>1127</v>
      </c>
      <c r="O194" s="1" t="s">
        <v>1161</v>
      </c>
    </row>
    <row r="195" spans="1:15" x14ac:dyDescent="0.25">
      <c r="A195" s="4">
        <v>191</v>
      </c>
      <c r="B195" s="2" t="str">
        <f>HYPERLINK("https://my.zakupki.prom.ua/remote/dispatcher/state_purchase_view/20998119", "UA-2020-11-12-002142-c")</f>
        <v>UA-2020-11-12-002142-c</v>
      </c>
      <c r="C195" s="2" t="str">
        <f>HYPERLINK("https://my.zakupki.prom.ua/remote/dispatcher/state_contracting_view/6324972", "UA-2020-11-12-002142-c-c1")</f>
        <v>UA-2020-11-12-002142-c-c1</v>
      </c>
      <c r="D195" s="1" t="s">
        <v>914</v>
      </c>
      <c r="E195" s="1" t="s">
        <v>916</v>
      </c>
      <c r="F195" s="1" t="s">
        <v>17</v>
      </c>
      <c r="G195" s="1" t="s">
        <v>860</v>
      </c>
      <c r="H195" s="1" t="s">
        <v>1095</v>
      </c>
      <c r="I195" s="1" t="s">
        <v>519</v>
      </c>
      <c r="J195" s="1" t="s">
        <v>182</v>
      </c>
      <c r="K195" s="5">
        <v>49765.2</v>
      </c>
      <c r="L195" s="6">
        <v>44147</v>
      </c>
      <c r="M195" s="6">
        <v>44196</v>
      </c>
      <c r="N195" s="1" t="s">
        <v>1127</v>
      </c>
      <c r="O195" s="1" t="s">
        <v>1161</v>
      </c>
    </row>
    <row r="196" spans="1:15" x14ac:dyDescent="0.25">
      <c r="A196" s="4">
        <v>192</v>
      </c>
      <c r="B196" s="2" t="str">
        <f>HYPERLINK("https://my.zakupki.prom.ua/remote/dispatcher/state_purchase_view/17400135", "UA-2020-06-22-003018-c")</f>
        <v>UA-2020-06-22-003018-c</v>
      </c>
      <c r="C196" s="2" t="str">
        <f>HYPERLINK("https://my.zakupki.prom.ua/remote/dispatcher/state_contracting_view/4606562", "UA-2020-06-22-003018-c-c1")</f>
        <v>UA-2020-06-22-003018-c-c1</v>
      </c>
      <c r="D196" s="1" t="s">
        <v>982</v>
      </c>
      <c r="E196" s="1" t="s">
        <v>953</v>
      </c>
      <c r="F196" s="1" t="s">
        <v>653</v>
      </c>
      <c r="G196" s="1" t="s">
        <v>860</v>
      </c>
      <c r="H196" s="1" t="s">
        <v>918</v>
      </c>
      <c r="I196" s="1" t="s">
        <v>298</v>
      </c>
      <c r="J196" s="1" t="s">
        <v>152</v>
      </c>
      <c r="K196" s="5">
        <v>24990</v>
      </c>
      <c r="L196" s="6">
        <v>44000</v>
      </c>
      <c r="M196" s="6">
        <v>44196</v>
      </c>
      <c r="N196" s="1" t="s">
        <v>1127</v>
      </c>
      <c r="O196" s="1" t="s">
        <v>1161</v>
      </c>
    </row>
    <row r="197" spans="1:15" x14ac:dyDescent="0.25">
      <c r="A197" s="4">
        <v>193</v>
      </c>
      <c r="B197" s="2" t="str">
        <f>HYPERLINK("https://my.zakupki.prom.ua/remote/dispatcher/state_purchase_view/17625061", "UA-2020-07-02-010345-a")</f>
        <v>UA-2020-07-02-010345-a</v>
      </c>
      <c r="C197" s="2" t="str">
        <f>HYPERLINK("https://my.zakupki.prom.ua/remote/dispatcher/state_contracting_view/4711424", "UA-2020-07-02-010345-a-a1")</f>
        <v>UA-2020-07-02-010345-a-a1</v>
      </c>
      <c r="D197" s="1" t="s">
        <v>1001</v>
      </c>
      <c r="E197" s="1" t="s">
        <v>1096</v>
      </c>
      <c r="F197" s="1" t="s">
        <v>369</v>
      </c>
      <c r="G197" s="1" t="s">
        <v>860</v>
      </c>
      <c r="H197" s="1" t="s">
        <v>1052</v>
      </c>
      <c r="I197" s="1" t="s">
        <v>331</v>
      </c>
      <c r="J197" s="1" t="s">
        <v>168</v>
      </c>
      <c r="K197" s="5">
        <v>2997</v>
      </c>
      <c r="L197" s="6">
        <v>44012</v>
      </c>
      <c r="M197" s="6">
        <v>44196</v>
      </c>
      <c r="N197" s="1" t="s">
        <v>1127</v>
      </c>
      <c r="O197" s="1" t="s">
        <v>1161</v>
      </c>
    </row>
    <row r="198" spans="1:15" x14ac:dyDescent="0.25">
      <c r="A198" s="4">
        <v>194</v>
      </c>
      <c r="B198" s="2" t="str">
        <f>HYPERLINK("https://my.zakupki.prom.ua/remote/dispatcher/state_purchase_view/17784974", "UA-2020-07-10-000590-c")</f>
        <v>UA-2020-07-10-000590-c</v>
      </c>
      <c r="C198" s="2" t="str">
        <f>HYPERLINK("https://my.zakupki.prom.ua/remote/dispatcher/state_contracting_view/4785348", "UA-2020-07-10-000590-c-c1")</f>
        <v>UA-2020-07-10-000590-c-c1</v>
      </c>
      <c r="D198" s="1" t="s">
        <v>910</v>
      </c>
      <c r="E198" s="1" t="s">
        <v>909</v>
      </c>
      <c r="F198" s="1" t="s">
        <v>352</v>
      </c>
      <c r="G198" s="1" t="s">
        <v>860</v>
      </c>
      <c r="H198" s="1" t="s">
        <v>1071</v>
      </c>
      <c r="I198" s="1" t="s">
        <v>432</v>
      </c>
      <c r="J198" s="1" t="s">
        <v>191</v>
      </c>
      <c r="K198" s="5">
        <v>1151.8</v>
      </c>
      <c r="L198" s="6">
        <v>44021</v>
      </c>
      <c r="M198" s="6">
        <v>44196</v>
      </c>
      <c r="N198" s="1" t="s">
        <v>1127</v>
      </c>
      <c r="O198" s="1" t="s">
        <v>1161</v>
      </c>
    </row>
    <row r="199" spans="1:15" x14ac:dyDescent="0.25">
      <c r="A199" s="4">
        <v>195</v>
      </c>
      <c r="B199" s="2" t="str">
        <f>HYPERLINK("https://my.zakupki.prom.ua/remote/dispatcher/state_purchase_view/17792308", "UA-2020-07-10-002595-c")</f>
        <v>UA-2020-07-10-002595-c</v>
      </c>
      <c r="C199" s="2" t="str">
        <f>HYPERLINK("https://my.zakupki.prom.ua/remote/dispatcher/state_contracting_view/4788959", "UA-2020-07-10-002595-c-c1")</f>
        <v>UA-2020-07-10-002595-c-c1</v>
      </c>
      <c r="D199" s="1" t="s">
        <v>954</v>
      </c>
      <c r="E199" s="1" t="s">
        <v>950</v>
      </c>
      <c r="F199" s="1" t="s">
        <v>674</v>
      </c>
      <c r="G199" s="1" t="s">
        <v>860</v>
      </c>
      <c r="H199" s="1" t="s">
        <v>765</v>
      </c>
      <c r="I199" s="1" t="s">
        <v>170</v>
      </c>
      <c r="J199" s="1" t="s">
        <v>1103</v>
      </c>
      <c r="K199" s="5">
        <v>450.89</v>
      </c>
      <c r="L199" s="6">
        <v>44020</v>
      </c>
      <c r="M199" s="6">
        <v>44196</v>
      </c>
      <c r="N199" s="1" t="s">
        <v>1127</v>
      </c>
      <c r="O199" s="1" t="s">
        <v>1161</v>
      </c>
    </row>
    <row r="200" spans="1:15" x14ac:dyDescent="0.25">
      <c r="A200" s="4">
        <v>196</v>
      </c>
      <c r="B200" s="2" t="str">
        <f>HYPERLINK("https://my.zakupki.prom.ua/remote/dispatcher/state_purchase_view/18392510", "UA-2020-08-07-003700-a")</f>
        <v>UA-2020-08-07-003700-a</v>
      </c>
      <c r="C200" s="2" t="str">
        <f>HYPERLINK("https://my.zakupki.prom.ua/remote/dispatcher/state_contracting_view/5069567", "UA-2020-08-07-003700-a-a1")</f>
        <v>UA-2020-08-07-003700-a-a1</v>
      </c>
      <c r="D200" s="1" t="s">
        <v>770</v>
      </c>
      <c r="E200" s="1" t="s">
        <v>840</v>
      </c>
      <c r="F200" s="1" t="s">
        <v>189</v>
      </c>
      <c r="G200" s="1" t="s">
        <v>860</v>
      </c>
      <c r="H200" s="1" t="s">
        <v>1081</v>
      </c>
      <c r="I200" s="1" t="s">
        <v>473</v>
      </c>
      <c r="J200" s="1" t="s">
        <v>15</v>
      </c>
      <c r="K200" s="5">
        <v>44100</v>
      </c>
      <c r="L200" s="6">
        <v>44050</v>
      </c>
      <c r="M200" s="6">
        <v>44196</v>
      </c>
      <c r="N200" s="1" t="s">
        <v>1136</v>
      </c>
      <c r="O200" s="1" t="s">
        <v>1161</v>
      </c>
    </row>
    <row r="201" spans="1:15" x14ac:dyDescent="0.25">
      <c r="A201" s="4">
        <v>197</v>
      </c>
      <c r="B201" s="2" t="str">
        <f>HYPERLINK("https://my.zakupki.prom.ua/remote/dispatcher/state_purchase_view/20066306", "UA-2020-10-13-003698-b")</f>
        <v>UA-2020-10-13-003698-b</v>
      </c>
      <c r="C201" s="2" t="str">
        <f>HYPERLINK("https://my.zakupki.prom.ua/remote/dispatcher/state_contracting_view/6361161", "UA-2020-10-13-003698-b-c1")</f>
        <v>UA-2020-10-13-003698-b-c1</v>
      </c>
      <c r="D201" s="1" t="s">
        <v>307</v>
      </c>
      <c r="E201" s="1" t="s">
        <v>893</v>
      </c>
      <c r="F201" s="1" t="s">
        <v>306</v>
      </c>
      <c r="G201" s="1" t="s">
        <v>843</v>
      </c>
      <c r="H201" s="1" t="s">
        <v>925</v>
      </c>
      <c r="I201" s="1" t="s">
        <v>264</v>
      </c>
      <c r="J201" s="1" t="s">
        <v>450</v>
      </c>
      <c r="K201" s="5">
        <v>99276.3</v>
      </c>
      <c r="L201" s="6">
        <v>44151</v>
      </c>
      <c r="M201" s="6">
        <v>44196</v>
      </c>
      <c r="N201" s="1" t="s">
        <v>1136</v>
      </c>
      <c r="O201" s="1" t="s">
        <v>1161</v>
      </c>
    </row>
    <row r="202" spans="1:15" x14ac:dyDescent="0.25">
      <c r="A202" s="4">
        <v>198</v>
      </c>
      <c r="B202" s="2" t="str">
        <f>HYPERLINK("https://my.zakupki.prom.ua/remote/dispatcher/state_purchase_view/19449398", "UA-2020-09-21-008633-b")</f>
        <v>UA-2020-09-21-008633-b</v>
      </c>
      <c r="C202" s="2" t="str">
        <f>HYPERLINK("https://my.zakupki.prom.ua/remote/dispatcher/state_contracting_view/6080048", "UA-2020-09-21-008633-b-a1")</f>
        <v>UA-2020-09-21-008633-b-a1</v>
      </c>
      <c r="D202" s="1" t="s">
        <v>384</v>
      </c>
      <c r="E202" s="1" t="s">
        <v>1126</v>
      </c>
      <c r="F202" s="1" t="s">
        <v>383</v>
      </c>
      <c r="G202" s="1" t="s">
        <v>843</v>
      </c>
      <c r="H202" s="1" t="s">
        <v>1017</v>
      </c>
      <c r="I202" s="1" t="s">
        <v>532</v>
      </c>
      <c r="J202" s="1" t="s">
        <v>412</v>
      </c>
      <c r="K202" s="5">
        <v>565000</v>
      </c>
      <c r="L202" s="6">
        <v>44127</v>
      </c>
      <c r="M202" s="6">
        <v>44196</v>
      </c>
      <c r="N202" s="1" t="s">
        <v>1136</v>
      </c>
      <c r="O202" s="1" t="s">
        <v>1161</v>
      </c>
    </row>
    <row r="203" spans="1:15" x14ac:dyDescent="0.25">
      <c r="A203" s="4">
        <v>199</v>
      </c>
      <c r="B203" s="2" t="str">
        <f>HYPERLINK("https://my.zakupki.prom.ua/remote/dispatcher/state_purchase_view/18956632", "UA-2020-09-02-011357-b")</f>
        <v>UA-2020-09-02-011357-b</v>
      </c>
      <c r="C203" s="2" t="str">
        <f>HYPERLINK("https://my.zakupki.prom.ua/remote/dispatcher/state_contracting_view/5549757", "UA-2020-09-02-011357-b-b1")</f>
        <v>UA-2020-09-02-011357-b-b1</v>
      </c>
      <c r="D203" s="1" t="s">
        <v>886</v>
      </c>
      <c r="E203" s="1" t="s">
        <v>755</v>
      </c>
      <c r="F203" s="1" t="s">
        <v>568</v>
      </c>
      <c r="G203" s="1" t="s">
        <v>940</v>
      </c>
      <c r="H203" s="1" t="s">
        <v>1046</v>
      </c>
      <c r="I203" s="1" t="s">
        <v>357</v>
      </c>
      <c r="J203" s="1" t="s">
        <v>270</v>
      </c>
      <c r="K203" s="5">
        <v>69980.399999999994</v>
      </c>
      <c r="L203" s="6">
        <v>44092</v>
      </c>
      <c r="M203" s="6">
        <v>44196</v>
      </c>
      <c r="N203" s="1" t="s">
        <v>1136</v>
      </c>
      <c r="O203" s="1" t="s">
        <v>1161</v>
      </c>
    </row>
    <row r="204" spans="1:15" x14ac:dyDescent="0.25">
      <c r="A204" s="4">
        <v>200</v>
      </c>
      <c r="B204" s="2" t="str">
        <f>HYPERLINK("https://my.zakupki.prom.ua/remote/dispatcher/state_purchase_view/18172316", "UA-2020-07-28-008048-c")</f>
        <v>UA-2020-07-28-008048-c</v>
      </c>
      <c r="C204" s="2" t="str">
        <f>HYPERLINK("https://my.zakupki.prom.ua/remote/dispatcher/state_contracting_view/5099366", "UA-2020-07-28-008048-c-c1")</f>
        <v>UA-2020-07-28-008048-c-c1</v>
      </c>
      <c r="D204" s="1" t="s">
        <v>569</v>
      </c>
      <c r="E204" s="1" t="s">
        <v>1099</v>
      </c>
      <c r="F204" s="1" t="s">
        <v>568</v>
      </c>
      <c r="G204" s="1" t="s">
        <v>940</v>
      </c>
      <c r="H204" s="1" t="s">
        <v>776</v>
      </c>
      <c r="I204" s="1" t="s">
        <v>267</v>
      </c>
      <c r="J204" s="1" t="s">
        <v>227</v>
      </c>
      <c r="K204" s="5">
        <v>620000</v>
      </c>
      <c r="L204" s="6">
        <v>44054</v>
      </c>
      <c r="M204" s="6">
        <v>44196</v>
      </c>
      <c r="N204" s="1" t="s">
        <v>1136</v>
      </c>
      <c r="O204" s="1" t="s">
        <v>1161</v>
      </c>
    </row>
    <row r="205" spans="1:15" x14ac:dyDescent="0.25">
      <c r="A205" s="4">
        <v>201</v>
      </c>
      <c r="B205" s="2" t="str">
        <f>HYPERLINK("https://my.zakupki.prom.ua/remote/dispatcher/state_purchase_view/17625212", "UA-2020-07-02-010391-a")</f>
        <v>UA-2020-07-02-010391-a</v>
      </c>
      <c r="C205" s="2" t="str">
        <f>HYPERLINK("https://my.zakupki.prom.ua/remote/dispatcher/state_contracting_view/4711484", "UA-2020-07-02-010391-a-a1")</f>
        <v>UA-2020-07-02-010391-a-a1</v>
      </c>
      <c r="D205" s="1" t="s">
        <v>972</v>
      </c>
      <c r="E205" s="1" t="s">
        <v>948</v>
      </c>
      <c r="F205" s="1" t="s">
        <v>716</v>
      </c>
      <c r="G205" s="1" t="s">
        <v>860</v>
      </c>
      <c r="H205" s="1" t="s">
        <v>148</v>
      </c>
      <c r="I205" s="1" t="s">
        <v>463</v>
      </c>
      <c r="J205" s="1" t="s">
        <v>171</v>
      </c>
      <c r="K205" s="5">
        <v>21522</v>
      </c>
      <c r="L205" s="6">
        <v>44013</v>
      </c>
      <c r="M205" s="6">
        <v>44196</v>
      </c>
      <c r="N205" s="1" t="s">
        <v>1127</v>
      </c>
      <c r="O205" s="1" t="s">
        <v>1161</v>
      </c>
    </row>
    <row r="206" spans="1:15" x14ac:dyDescent="0.25">
      <c r="A206" s="4">
        <v>202</v>
      </c>
      <c r="B206" s="2" t="str">
        <f>HYPERLINK("https://my.zakupki.prom.ua/remote/dispatcher/state_purchase_view/18830902", "UA-2020-08-27-003512-c")</f>
        <v>UA-2020-08-27-003512-c</v>
      </c>
      <c r="C206" s="2" t="str">
        <f>HYPERLINK("https://my.zakupki.prom.ua/remote/dispatcher/state_contracting_view/5550314", "UA-2020-08-27-003512-c-b1")</f>
        <v>UA-2020-08-27-003512-c-b1</v>
      </c>
      <c r="D206" s="1" t="s">
        <v>946</v>
      </c>
      <c r="E206" s="1" t="s">
        <v>809</v>
      </c>
      <c r="F206" s="1" t="s">
        <v>584</v>
      </c>
      <c r="G206" s="1" t="s">
        <v>843</v>
      </c>
      <c r="H206" s="1" t="s">
        <v>1018</v>
      </c>
      <c r="I206" s="1" t="s">
        <v>357</v>
      </c>
      <c r="J206" s="1" t="s">
        <v>268</v>
      </c>
      <c r="K206" s="5">
        <v>44469</v>
      </c>
      <c r="L206" s="6">
        <v>44092</v>
      </c>
      <c r="M206" s="6">
        <v>44196</v>
      </c>
      <c r="N206" s="1" t="s">
        <v>1136</v>
      </c>
      <c r="O206" s="1" t="s">
        <v>1161</v>
      </c>
    </row>
    <row r="207" spans="1:15" x14ac:dyDescent="0.25">
      <c r="A207" s="4">
        <v>203</v>
      </c>
      <c r="B207" s="2" t="str">
        <f>HYPERLINK("https://my.zakupki.prom.ua/remote/dispatcher/state_purchase_view/14354054", "UA-2019-12-29-000090-c")</f>
        <v>UA-2019-12-29-000090-c</v>
      </c>
      <c r="C207" s="2" t="str">
        <f>HYPERLINK("https://my.zakupki.prom.ua/remote/dispatcher/state_contracting_view/3608386", "UA-2019-12-29-000090-c-c1")</f>
        <v>UA-2019-12-29-000090-c-c1</v>
      </c>
      <c r="D207" s="1" t="s">
        <v>398</v>
      </c>
      <c r="E207" s="1" t="s">
        <v>399</v>
      </c>
      <c r="F207" s="1" t="s">
        <v>395</v>
      </c>
      <c r="G207" s="1" t="s">
        <v>860</v>
      </c>
      <c r="H207" s="1" t="s">
        <v>1031</v>
      </c>
      <c r="I207" s="1" t="s">
        <v>433</v>
      </c>
      <c r="J207" s="1" t="s">
        <v>127</v>
      </c>
      <c r="K207" s="5">
        <v>120000</v>
      </c>
      <c r="L207" s="6">
        <v>43828</v>
      </c>
      <c r="M207" s="6">
        <v>44196</v>
      </c>
      <c r="N207" s="1" t="s">
        <v>1127</v>
      </c>
      <c r="O207" s="1" t="s">
        <v>1161</v>
      </c>
    </row>
    <row r="208" spans="1:15" x14ac:dyDescent="0.25">
      <c r="A208" s="4">
        <v>204</v>
      </c>
      <c r="B208" s="2" t="str">
        <f>HYPERLINK("https://my.zakupki.prom.ua/remote/dispatcher/state_purchase_view/17707886", "UA-2020-07-07-003215-c")</f>
        <v>UA-2020-07-07-003215-c</v>
      </c>
      <c r="C208" s="2" t="str">
        <f>HYPERLINK("https://my.zakupki.prom.ua/remote/dispatcher/state_contracting_view/4749662", "UA-2020-07-07-003215-c-c1")</f>
        <v>UA-2020-07-07-003215-c-c1</v>
      </c>
      <c r="D208" s="1" t="s">
        <v>668</v>
      </c>
      <c r="E208" s="1" t="s">
        <v>967</v>
      </c>
      <c r="F208" s="1" t="s">
        <v>669</v>
      </c>
      <c r="G208" s="1" t="s">
        <v>860</v>
      </c>
      <c r="H208" s="1" t="s">
        <v>1117</v>
      </c>
      <c r="I208" s="1" t="s">
        <v>13</v>
      </c>
      <c r="J208" s="1" t="s">
        <v>179</v>
      </c>
      <c r="K208" s="5">
        <v>633.6</v>
      </c>
      <c r="L208" s="6">
        <v>44015</v>
      </c>
      <c r="M208" s="6">
        <v>44104</v>
      </c>
      <c r="N208" s="1" t="s">
        <v>1127</v>
      </c>
      <c r="O208" s="1" t="s">
        <v>1161</v>
      </c>
    </row>
    <row r="209" spans="1:15" x14ac:dyDescent="0.25">
      <c r="A209" s="4">
        <v>205</v>
      </c>
      <c r="B209" s="2" t="str">
        <f>HYPERLINK("https://my.zakupki.prom.ua/remote/dispatcher/state_purchase_view/17873230", "UA-2020-07-14-007841-c")</f>
        <v>UA-2020-07-14-007841-c</v>
      </c>
      <c r="C209" s="2" t="str">
        <f>HYPERLINK("https://my.zakupki.prom.ua/remote/dispatcher/state_contracting_view/4826760", "UA-2020-07-14-007841-c-c1")</f>
        <v>UA-2020-07-14-007841-c-c1</v>
      </c>
      <c r="D209" s="1" t="s">
        <v>773</v>
      </c>
      <c r="E209" s="1" t="s">
        <v>876</v>
      </c>
      <c r="F209" s="1" t="s">
        <v>348</v>
      </c>
      <c r="G209" s="1" t="s">
        <v>860</v>
      </c>
      <c r="H209" s="1" t="s">
        <v>1049</v>
      </c>
      <c r="I209" s="1" t="s">
        <v>271</v>
      </c>
      <c r="J209" s="1" t="s">
        <v>198</v>
      </c>
      <c r="K209" s="5">
        <v>17145</v>
      </c>
      <c r="L209" s="6">
        <v>44025</v>
      </c>
      <c r="M209" s="6">
        <v>44196</v>
      </c>
      <c r="N209" s="1" t="s">
        <v>1127</v>
      </c>
      <c r="O209" s="1" t="s">
        <v>1161</v>
      </c>
    </row>
    <row r="210" spans="1:15" x14ac:dyDescent="0.25">
      <c r="A210" s="4">
        <v>206</v>
      </c>
      <c r="B210" s="2" t="str">
        <f>HYPERLINK("https://my.zakupki.prom.ua/remote/dispatcher/state_purchase_view/15385765", "UA-2020-02-20-000374-b")</f>
        <v>UA-2020-02-20-000374-b</v>
      </c>
      <c r="C210" s="2" t="str">
        <f>HYPERLINK("https://my.zakupki.prom.ua/remote/dispatcher/state_contracting_view/3827422", "UA-2020-02-20-000374-b-b1")</f>
        <v>UA-2020-02-20-000374-b-b1</v>
      </c>
      <c r="D210" s="1" t="s">
        <v>822</v>
      </c>
      <c r="E210" s="1" t="s">
        <v>822</v>
      </c>
      <c r="F210" s="1" t="s">
        <v>18</v>
      </c>
      <c r="G210" s="1" t="s">
        <v>860</v>
      </c>
      <c r="H210" s="1" t="s">
        <v>1050</v>
      </c>
      <c r="I210" s="1" t="s">
        <v>496</v>
      </c>
      <c r="J210" s="1" t="s">
        <v>733</v>
      </c>
      <c r="K210" s="5">
        <v>347182.2</v>
      </c>
      <c r="L210" s="6">
        <v>43880</v>
      </c>
      <c r="M210" s="6">
        <v>44196</v>
      </c>
      <c r="N210" s="1" t="s">
        <v>1127</v>
      </c>
      <c r="O210" s="1" t="s">
        <v>1161</v>
      </c>
    </row>
    <row r="211" spans="1:15" x14ac:dyDescent="0.25">
      <c r="A211" s="4">
        <v>207</v>
      </c>
      <c r="B211" s="2" t="str">
        <f>HYPERLINK("https://my.zakupki.prom.ua/remote/dispatcher/state_purchase_view/15614811", "UA-2020-03-04-002213-b")</f>
        <v>UA-2020-03-04-002213-b</v>
      </c>
      <c r="C211" s="2" t="str">
        <f>HYPERLINK("https://my.zakupki.prom.ua/remote/dispatcher/state_contracting_view/3894793", "UA-2020-03-04-002213-b-b1")</f>
        <v>UA-2020-03-04-002213-b-b1</v>
      </c>
      <c r="D211" s="1" t="s">
        <v>321</v>
      </c>
      <c r="E211" s="1" t="s">
        <v>320</v>
      </c>
      <c r="F211" s="1" t="s">
        <v>317</v>
      </c>
      <c r="G211" s="1" t="s">
        <v>860</v>
      </c>
      <c r="H211" s="1" t="s">
        <v>1044</v>
      </c>
      <c r="I211" s="1" t="s">
        <v>528</v>
      </c>
      <c r="J211" s="1" t="s">
        <v>240</v>
      </c>
      <c r="K211" s="5">
        <v>55000</v>
      </c>
      <c r="L211" s="6">
        <v>43894</v>
      </c>
      <c r="M211" s="6">
        <v>44196</v>
      </c>
      <c r="N211" s="1" t="s">
        <v>1127</v>
      </c>
      <c r="O211" s="1" t="s">
        <v>1161</v>
      </c>
    </row>
    <row r="212" spans="1:15" x14ac:dyDescent="0.25">
      <c r="A212" s="4">
        <v>208</v>
      </c>
      <c r="B212" s="2" t="str">
        <f>HYPERLINK("https://my.zakupki.prom.ua/remote/dispatcher/state_purchase_view/18913473", "UA-2020-09-01-005196-b")</f>
        <v>UA-2020-09-01-005196-b</v>
      </c>
      <c r="C212" s="2" t="str">
        <f>HYPERLINK("https://my.zakupki.prom.ua/remote/dispatcher/state_contracting_view/5315344", "UA-2020-09-01-005196-b-b1")</f>
        <v>UA-2020-09-01-005196-b-b1</v>
      </c>
      <c r="D212" s="1" t="s">
        <v>785</v>
      </c>
      <c r="E212" s="1" t="s">
        <v>894</v>
      </c>
      <c r="F212" s="1" t="s">
        <v>605</v>
      </c>
      <c r="G212" s="1" t="s">
        <v>860</v>
      </c>
      <c r="H212" s="1" t="s">
        <v>1057</v>
      </c>
      <c r="I212" s="1" t="s">
        <v>5</v>
      </c>
      <c r="J212" s="1" t="s">
        <v>238</v>
      </c>
      <c r="K212" s="5">
        <v>49965.31</v>
      </c>
      <c r="L212" s="6">
        <v>44074</v>
      </c>
      <c r="M212" s="6">
        <v>44196</v>
      </c>
      <c r="N212" s="1" t="s">
        <v>1127</v>
      </c>
      <c r="O212" s="1" t="s">
        <v>1161</v>
      </c>
    </row>
    <row r="213" spans="1:15" x14ac:dyDescent="0.25">
      <c r="A213" s="4">
        <v>209</v>
      </c>
      <c r="B213" s="2" t="str">
        <f>HYPERLINK("https://my.zakupki.prom.ua/remote/dispatcher/state_purchase_view/19715371", "UA-2020-09-30-002818-a")</f>
        <v>UA-2020-09-30-002818-a</v>
      </c>
      <c r="C213" s="2" t="str">
        <f>HYPERLINK("https://my.zakupki.prom.ua/remote/dispatcher/state_contracting_view/5695328", "UA-2020-09-30-002818-a-a1")</f>
        <v>UA-2020-09-30-002818-a-a1</v>
      </c>
      <c r="D213" s="1" t="s">
        <v>585</v>
      </c>
      <c r="E213" s="1" t="s">
        <v>1112</v>
      </c>
      <c r="F213" s="1" t="s">
        <v>586</v>
      </c>
      <c r="G213" s="1" t="s">
        <v>860</v>
      </c>
      <c r="H213" s="1" t="s">
        <v>811</v>
      </c>
      <c r="I213" s="1" t="s">
        <v>237</v>
      </c>
      <c r="J213" s="1" t="s">
        <v>330</v>
      </c>
      <c r="K213" s="5">
        <v>41095</v>
      </c>
      <c r="L213" s="6">
        <v>44103</v>
      </c>
      <c r="M213" s="6">
        <v>44196</v>
      </c>
      <c r="N213" s="1" t="s">
        <v>1127</v>
      </c>
      <c r="O213" s="1" t="s">
        <v>1161</v>
      </c>
    </row>
    <row r="214" spans="1:15" x14ac:dyDescent="0.25">
      <c r="A214" s="4">
        <v>210</v>
      </c>
      <c r="B214" s="2" t="str">
        <f>HYPERLINK("https://my.zakupki.prom.ua/remote/dispatcher/state_purchase_view/16213107", "UA-2020-04-10-002438-b")</f>
        <v>UA-2020-04-10-002438-b</v>
      </c>
      <c r="C214" s="2" t="str">
        <f>HYPERLINK("https://my.zakupki.prom.ua/remote/dispatcher/state_contracting_view/4089701", "UA-2020-04-10-002438-b-b1")</f>
        <v>UA-2020-04-10-002438-b-b1</v>
      </c>
      <c r="D214" s="1" t="s">
        <v>613</v>
      </c>
      <c r="E214" s="1" t="s">
        <v>613</v>
      </c>
      <c r="F214" s="1" t="s">
        <v>611</v>
      </c>
      <c r="G214" s="1" t="s">
        <v>860</v>
      </c>
      <c r="H214" s="1" t="s">
        <v>811</v>
      </c>
      <c r="I214" s="1" t="s">
        <v>237</v>
      </c>
      <c r="J214" s="1" t="s">
        <v>79</v>
      </c>
      <c r="K214" s="5">
        <v>200000</v>
      </c>
      <c r="L214" s="6">
        <v>43931</v>
      </c>
      <c r="M214" s="6">
        <v>44196</v>
      </c>
      <c r="N214" s="1" t="s">
        <v>1127</v>
      </c>
      <c r="O214" s="1" t="s">
        <v>1161</v>
      </c>
    </row>
    <row r="215" spans="1:15" x14ac:dyDescent="0.25">
      <c r="A215" s="4">
        <v>211</v>
      </c>
      <c r="B215" s="2" t="str">
        <f>HYPERLINK("https://my.zakupki.prom.ua/remote/dispatcher/state_purchase_view/16186460", "UA-2020-04-09-001743-b")</f>
        <v>UA-2020-04-09-001743-b</v>
      </c>
      <c r="C215" s="2" t="str">
        <f>HYPERLINK("https://my.zakupki.prom.ua/remote/dispatcher/state_contracting_view/4080513", "UA-2020-04-09-001743-b-b1")</f>
        <v>UA-2020-04-09-001743-b-b1</v>
      </c>
      <c r="D215" s="1" t="s">
        <v>581</v>
      </c>
      <c r="E215" s="1" t="s">
        <v>581</v>
      </c>
      <c r="F215" s="1" t="s">
        <v>568</v>
      </c>
      <c r="G215" s="1" t="s">
        <v>860</v>
      </c>
      <c r="H215" s="1" t="s">
        <v>1037</v>
      </c>
      <c r="I215" s="1" t="s">
        <v>11</v>
      </c>
      <c r="J215" s="1" t="s">
        <v>662</v>
      </c>
      <c r="K215" s="5">
        <v>100000</v>
      </c>
      <c r="L215" s="6">
        <v>43930</v>
      </c>
      <c r="M215" s="6">
        <v>44196</v>
      </c>
      <c r="N215" s="1" t="s">
        <v>1127</v>
      </c>
      <c r="O215" s="1" t="s">
        <v>1161</v>
      </c>
    </row>
    <row r="216" spans="1:15" x14ac:dyDescent="0.25">
      <c r="A216" s="4">
        <v>212</v>
      </c>
      <c r="B216" s="2" t="str">
        <f>HYPERLINK("https://my.zakupki.prom.ua/remote/dispatcher/state_purchase_view/16133509", "UA-2020-04-06-003138-b")</f>
        <v>UA-2020-04-06-003138-b</v>
      </c>
      <c r="C216" s="2" t="str">
        <f>HYPERLINK("https://my.zakupki.prom.ua/remote/dispatcher/state_contracting_view/4061958", "UA-2020-04-06-003138-b-b1")</f>
        <v>UA-2020-04-06-003138-b-b1</v>
      </c>
      <c r="D216" s="1" t="s">
        <v>480</v>
      </c>
      <c r="E216" s="1" t="s">
        <v>480</v>
      </c>
      <c r="F216" s="1" t="s">
        <v>478</v>
      </c>
      <c r="G216" s="1" t="s">
        <v>860</v>
      </c>
      <c r="H216" s="1" t="s">
        <v>812</v>
      </c>
      <c r="I216" s="1" t="s">
        <v>299</v>
      </c>
      <c r="J216" s="1" t="s">
        <v>75</v>
      </c>
      <c r="K216" s="5">
        <v>100000</v>
      </c>
      <c r="L216" s="6">
        <v>43927</v>
      </c>
      <c r="M216" s="6">
        <v>44196</v>
      </c>
      <c r="N216" s="1" t="s">
        <v>1127</v>
      </c>
      <c r="O216" s="1" t="s">
        <v>1161</v>
      </c>
    </row>
    <row r="217" spans="1:15" x14ac:dyDescent="0.25">
      <c r="A217" s="4">
        <v>213</v>
      </c>
      <c r="B217" s="2" t="str">
        <f>HYPERLINK("https://my.zakupki.prom.ua/remote/dispatcher/state_purchase_view/17061030", "UA-2020-06-04-006683-b")</f>
        <v>UA-2020-06-04-006683-b</v>
      </c>
      <c r="C217" s="2" t="str">
        <f>HYPERLINK("https://my.zakupki.prom.ua/remote/dispatcher/state_contracting_view/4451363", "UA-2020-06-04-006683-b-b1")</f>
        <v>UA-2020-06-04-006683-b-b1</v>
      </c>
      <c r="D217" s="1" t="s">
        <v>800</v>
      </c>
      <c r="E217" s="1" t="s">
        <v>799</v>
      </c>
      <c r="F217" s="1" t="s">
        <v>652</v>
      </c>
      <c r="G217" s="1" t="s">
        <v>860</v>
      </c>
      <c r="H217" s="1" t="s">
        <v>934</v>
      </c>
      <c r="I217" s="1" t="s">
        <v>434</v>
      </c>
      <c r="J217" s="1" t="s">
        <v>131</v>
      </c>
      <c r="K217" s="5">
        <v>30000</v>
      </c>
      <c r="L217" s="6">
        <v>43984</v>
      </c>
      <c r="M217" s="6">
        <v>44196</v>
      </c>
      <c r="N217" s="1" t="s">
        <v>1127</v>
      </c>
      <c r="O217" s="1" t="s">
        <v>1161</v>
      </c>
    </row>
    <row r="218" spans="1:15" x14ac:dyDescent="0.25">
      <c r="A218" s="4">
        <v>214</v>
      </c>
      <c r="B218" s="2" t="str">
        <f>HYPERLINK("https://my.zakupki.prom.ua/remote/dispatcher/state_purchase_view/21193377", "UA-2020-11-18-007193-c")</f>
        <v>UA-2020-11-18-007193-c</v>
      </c>
      <c r="C218" s="2" t="str">
        <f>HYPERLINK("https://my.zakupki.prom.ua/remote/dispatcher/state_contracting_view/6397423", "UA-2020-11-18-007193-c-c1")</f>
        <v>UA-2020-11-18-007193-c-c1</v>
      </c>
      <c r="D218" s="1" t="s">
        <v>650</v>
      </c>
      <c r="E218" s="1" t="s">
        <v>1132</v>
      </c>
      <c r="F218" s="1" t="s">
        <v>651</v>
      </c>
      <c r="G218" s="1" t="s">
        <v>860</v>
      </c>
      <c r="H218" s="1" t="s">
        <v>1100</v>
      </c>
      <c r="I218" s="1" t="s">
        <v>505</v>
      </c>
      <c r="J218" s="1" t="s">
        <v>101</v>
      </c>
      <c r="K218" s="5">
        <v>13063.76</v>
      </c>
      <c r="L218" s="6">
        <v>44152</v>
      </c>
      <c r="M218" s="6">
        <v>44196</v>
      </c>
      <c r="N218" s="1" t="s">
        <v>1127</v>
      </c>
      <c r="O218" s="1" t="s">
        <v>1161</v>
      </c>
    </row>
    <row r="219" spans="1:15" x14ac:dyDescent="0.25">
      <c r="A219" s="4">
        <v>215</v>
      </c>
      <c r="B219" s="2" t="str">
        <f>HYPERLINK("https://my.zakupki.prom.ua/remote/dispatcher/state_purchase_view/14418854", "UA-2020-01-10-000416-c")</f>
        <v>UA-2020-01-10-000416-c</v>
      </c>
      <c r="C219" s="2" t="str">
        <f>HYPERLINK("https://my.zakupki.prom.ua/remote/dispatcher/state_contracting_view/3731046", "UA-2020-01-10-000416-c-b1")</f>
        <v>UA-2020-01-10-000416-c-b1</v>
      </c>
      <c r="D219" s="1" t="s">
        <v>831</v>
      </c>
      <c r="E219" s="1" t="s">
        <v>832</v>
      </c>
      <c r="F219" s="1" t="s">
        <v>401</v>
      </c>
      <c r="G219" s="1" t="s">
        <v>843</v>
      </c>
      <c r="H219" s="1" t="s">
        <v>1021</v>
      </c>
      <c r="I219" s="1" t="s">
        <v>454</v>
      </c>
      <c r="J219" s="1" t="s">
        <v>719</v>
      </c>
      <c r="K219" s="5">
        <v>338100</v>
      </c>
      <c r="L219" s="6">
        <v>43861</v>
      </c>
      <c r="M219" s="6">
        <v>44196</v>
      </c>
      <c r="N219" s="1" t="s">
        <v>1136</v>
      </c>
      <c r="O219" s="1" t="s">
        <v>1161</v>
      </c>
    </row>
    <row r="220" spans="1:15" x14ac:dyDescent="0.25">
      <c r="A220" s="4">
        <v>216</v>
      </c>
      <c r="B220" s="2" t="str">
        <f>HYPERLINK("https://my.zakupki.prom.ua/remote/dispatcher/state_purchase_view/22041303", "UA-2020-12-11-003406-c")</f>
        <v>UA-2020-12-11-003406-c</v>
      </c>
      <c r="C220" s="2" t="str">
        <f>HYPERLINK("https://my.zakupki.prom.ua/remote/dispatcher/state_contracting_view/6794514", "UA-2020-12-11-003406-c-c1")</f>
        <v>UA-2020-12-11-003406-c-c1</v>
      </c>
      <c r="D220" s="1" t="s">
        <v>792</v>
      </c>
      <c r="E220" s="1" t="s">
        <v>793</v>
      </c>
      <c r="F220" s="1" t="s">
        <v>553</v>
      </c>
      <c r="G220" s="1" t="s">
        <v>860</v>
      </c>
      <c r="H220" s="1" t="s">
        <v>872</v>
      </c>
      <c r="I220" s="1" t="s">
        <v>246</v>
      </c>
      <c r="J220" s="1" t="s">
        <v>516</v>
      </c>
      <c r="K220" s="5">
        <v>49005</v>
      </c>
      <c r="L220" s="6">
        <v>44174</v>
      </c>
      <c r="M220" s="6">
        <v>44196</v>
      </c>
      <c r="N220" s="1" t="s">
        <v>1127</v>
      </c>
      <c r="O220" s="1" t="s">
        <v>1161</v>
      </c>
    </row>
    <row r="221" spans="1:15" x14ac:dyDescent="0.25">
      <c r="A221" s="4">
        <v>217</v>
      </c>
      <c r="B221" s="2" t="str">
        <f>HYPERLINK("https://my.zakupki.prom.ua/remote/dispatcher/state_purchase_view/21134715", "UA-2020-11-17-003796-c")</f>
        <v>UA-2020-11-17-003796-c</v>
      </c>
      <c r="C221" s="2" t="str">
        <f>HYPERLINK("https://my.zakupki.prom.ua/remote/dispatcher/state_contracting_view/7013285", "UA-2020-11-17-003796-c-c1")</f>
        <v>UA-2020-11-17-003796-c-c1</v>
      </c>
      <c r="D221" s="1" t="s">
        <v>319</v>
      </c>
      <c r="E221" s="1" t="s">
        <v>844</v>
      </c>
      <c r="F221" s="1" t="s">
        <v>317</v>
      </c>
      <c r="G221" s="1" t="s">
        <v>802</v>
      </c>
      <c r="H221" s="1" t="s">
        <v>847</v>
      </c>
      <c r="I221" s="1" t="s">
        <v>528</v>
      </c>
      <c r="J221" s="1" t="s">
        <v>551</v>
      </c>
      <c r="K221" s="5">
        <v>679000</v>
      </c>
      <c r="L221" s="6">
        <v>44186</v>
      </c>
      <c r="M221" s="6">
        <v>44196</v>
      </c>
      <c r="N221" s="1" t="s">
        <v>1136</v>
      </c>
      <c r="O221" s="1" t="s">
        <v>1161</v>
      </c>
    </row>
    <row r="222" spans="1:15" x14ac:dyDescent="0.25">
      <c r="A222" s="4">
        <v>218</v>
      </c>
      <c r="B222" s="2" t="str">
        <f>HYPERLINK("https://my.zakupki.prom.ua/remote/dispatcher/state_purchase_view/22042476", "UA-2020-12-11-003744-c")</f>
        <v>UA-2020-12-11-003744-c</v>
      </c>
      <c r="C222" s="2" t="str">
        <f>HYPERLINK("https://my.zakupki.prom.ua/remote/dispatcher/state_contracting_view/6795360", "UA-2020-12-11-003744-c-c1")</f>
        <v>UA-2020-12-11-003744-c-c1</v>
      </c>
      <c r="D222" s="1" t="s">
        <v>853</v>
      </c>
      <c r="E222" s="1" t="s">
        <v>1158</v>
      </c>
      <c r="F222" s="1" t="s">
        <v>337</v>
      </c>
      <c r="G222" s="1" t="s">
        <v>860</v>
      </c>
      <c r="H222" s="1" t="s">
        <v>872</v>
      </c>
      <c r="I222" s="1" t="s">
        <v>246</v>
      </c>
      <c r="J222" s="1" t="s">
        <v>520</v>
      </c>
      <c r="K222" s="5">
        <v>49560</v>
      </c>
      <c r="L222" s="6">
        <v>44174</v>
      </c>
      <c r="M222" s="6">
        <v>44196</v>
      </c>
      <c r="N222" s="1" t="s">
        <v>1127</v>
      </c>
      <c r="O222" s="1" t="s">
        <v>1161</v>
      </c>
    </row>
    <row r="223" spans="1:15" x14ac:dyDescent="0.25">
      <c r="A223" s="4">
        <v>219</v>
      </c>
      <c r="B223" s="2" t="str">
        <f>HYPERLINK("https://my.zakupki.prom.ua/remote/dispatcher/state_purchase_view/14841886", "UA-2020-01-27-000831-b")</f>
        <v>UA-2020-01-27-000831-b</v>
      </c>
      <c r="C223" s="2" t="str">
        <f>HYPERLINK("https://my.zakupki.prom.ua/remote/dispatcher/state_contracting_view/3690341", "UA-2020-01-27-000831-b-b1")</f>
        <v>UA-2020-01-27-000831-b-b1</v>
      </c>
      <c r="D223" s="1" t="s">
        <v>710</v>
      </c>
      <c r="E223" s="1" t="s">
        <v>711</v>
      </c>
      <c r="F223" s="1" t="s">
        <v>708</v>
      </c>
      <c r="G223" s="1" t="s">
        <v>860</v>
      </c>
      <c r="H223" s="1" t="s">
        <v>814</v>
      </c>
      <c r="I223" s="1" t="s">
        <v>129</v>
      </c>
      <c r="J223" s="1" t="s">
        <v>702</v>
      </c>
      <c r="K223" s="5">
        <v>133340.85</v>
      </c>
      <c r="L223" s="6">
        <v>43857</v>
      </c>
      <c r="M223" s="6">
        <v>44196</v>
      </c>
      <c r="N223" s="1" t="s">
        <v>1127</v>
      </c>
      <c r="O223" s="1" t="s">
        <v>1161</v>
      </c>
    </row>
    <row r="224" spans="1:15" x14ac:dyDescent="0.25">
      <c r="A224" s="4">
        <v>220</v>
      </c>
      <c r="B224" s="2" t="str">
        <f>HYPERLINK("https://my.zakupki.prom.ua/remote/dispatcher/state_purchase_view/15589416", "UA-2020-03-03-004414-a")</f>
        <v>UA-2020-03-03-004414-a</v>
      </c>
      <c r="C224" s="2" t="str">
        <f>HYPERLINK("https://my.zakupki.prom.ua/remote/dispatcher/state_contracting_view/3885870", "UA-2020-03-03-004414-a-a1")</f>
        <v>UA-2020-03-03-004414-a-a1</v>
      </c>
      <c r="D224" s="1" t="s">
        <v>340</v>
      </c>
      <c r="E224" s="1" t="s">
        <v>340</v>
      </c>
      <c r="F224" s="1" t="s">
        <v>338</v>
      </c>
      <c r="G224" s="1" t="s">
        <v>860</v>
      </c>
      <c r="H224" s="1" t="s">
        <v>1051</v>
      </c>
      <c r="I224" s="1" t="s">
        <v>550</v>
      </c>
      <c r="J224" s="1" t="s">
        <v>30</v>
      </c>
      <c r="K224" s="5">
        <v>207691.99</v>
      </c>
      <c r="L224" s="6">
        <v>43893</v>
      </c>
      <c r="M224" s="6">
        <v>44196</v>
      </c>
      <c r="N224" s="1" t="s">
        <v>1127</v>
      </c>
      <c r="O224" s="1" t="s">
        <v>1161</v>
      </c>
    </row>
    <row r="225" spans="1:15" x14ac:dyDescent="0.25">
      <c r="A225" s="4">
        <v>221</v>
      </c>
      <c r="B225" s="2" t="str">
        <f>HYPERLINK("https://my.zakupki.prom.ua/remote/dispatcher/state_purchase_view/14416098", "UA-2020-01-10-000039-c")</f>
        <v>UA-2020-01-10-000039-c</v>
      </c>
      <c r="C225" s="2" t="str">
        <f>HYPERLINK("https://my.zakupki.prom.ua/remote/dispatcher/state_contracting_view/3619598", "UA-2020-01-10-000039-c-c1")</f>
        <v>UA-2020-01-10-000039-c-c1</v>
      </c>
      <c r="D225" s="1" t="s">
        <v>565</v>
      </c>
      <c r="E225" s="1" t="s">
        <v>566</v>
      </c>
      <c r="F225" s="1" t="s">
        <v>564</v>
      </c>
      <c r="G225" s="1" t="s">
        <v>860</v>
      </c>
      <c r="H225" s="1" t="s">
        <v>1040</v>
      </c>
      <c r="I225" s="1" t="s">
        <v>474</v>
      </c>
      <c r="J225" s="1" t="s">
        <v>201</v>
      </c>
      <c r="K225" s="5">
        <v>120000</v>
      </c>
      <c r="L225" s="6">
        <v>43839</v>
      </c>
      <c r="M225" s="6">
        <v>44196</v>
      </c>
      <c r="N225" s="1" t="s">
        <v>1127</v>
      </c>
      <c r="O225" s="1" t="s">
        <v>1161</v>
      </c>
    </row>
    <row r="226" spans="1:15" x14ac:dyDescent="0.25">
      <c r="A226" s="4">
        <v>222</v>
      </c>
      <c r="B226" s="2" t="str">
        <f>HYPERLINK("https://my.zakupki.prom.ua/remote/dispatcher/state_purchase_view/15084806", "UA-2020-02-04-001526-b")</f>
        <v>UA-2020-02-04-001526-b</v>
      </c>
      <c r="C226" s="2" t="str">
        <f>HYPERLINK("https://my.zakupki.prom.ua/remote/dispatcher/state_contracting_view/3749371", "UA-2020-02-04-001526-b-b1")</f>
        <v>UA-2020-02-04-001526-b-b1</v>
      </c>
      <c r="D226" s="1" t="s">
        <v>329</v>
      </c>
      <c r="E226" s="1" t="s">
        <v>328</v>
      </c>
      <c r="F226" s="1" t="s">
        <v>326</v>
      </c>
      <c r="G226" s="1" t="s">
        <v>860</v>
      </c>
      <c r="H226" s="1" t="s">
        <v>872</v>
      </c>
      <c r="I226" s="1" t="s">
        <v>246</v>
      </c>
      <c r="J226" s="1" t="s">
        <v>735</v>
      </c>
      <c r="K226" s="5">
        <v>300000</v>
      </c>
      <c r="L226" s="6">
        <v>43865</v>
      </c>
      <c r="M226" s="6">
        <v>44196</v>
      </c>
      <c r="N226" s="1" t="s">
        <v>1127</v>
      </c>
      <c r="O226" s="1" t="s">
        <v>1161</v>
      </c>
    </row>
    <row r="227" spans="1:15" x14ac:dyDescent="0.25">
      <c r="A227" s="4">
        <v>223</v>
      </c>
      <c r="B227" s="2" t="str">
        <f>HYPERLINK("https://my.zakupki.prom.ua/remote/dispatcher/state_purchase_view/14894102", "UA-2020-01-28-002688-b")</f>
        <v>UA-2020-01-28-002688-b</v>
      </c>
      <c r="C227" s="2" t="str">
        <f>HYPERLINK("https://my.zakupki.prom.ua/remote/dispatcher/state_contracting_view/3705735", "UA-2020-01-28-002688-b-b1")</f>
        <v>UA-2020-01-28-002688-b-b1</v>
      </c>
      <c r="D227" s="1" t="s">
        <v>580</v>
      </c>
      <c r="E227" s="1" t="s">
        <v>579</v>
      </c>
      <c r="F227" s="1" t="s">
        <v>568</v>
      </c>
      <c r="G227" s="1" t="s">
        <v>860</v>
      </c>
      <c r="H227" s="1" t="s">
        <v>866</v>
      </c>
      <c r="I227" s="1" t="s">
        <v>206</v>
      </c>
      <c r="J227" s="1" t="s">
        <v>703</v>
      </c>
      <c r="K227" s="5">
        <v>50000</v>
      </c>
      <c r="L227" s="6">
        <v>43858</v>
      </c>
      <c r="M227" s="6">
        <v>44196</v>
      </c>
      <c r="N227" s="1" t="s">
        <v>1127</v>
      </c>
      <c r="O227" s="1" t="s">
        <v>1161</v>
      </c>
    </row>
    <row r="228" spans="1:15" x14ac:dyDescent="0.25">
      <c r="A228" s="4">
        <v>224</v>
      </c>
      <c r="B228" s="2" t="str">
        <f>HYPERLINK("https://my.zakupki.prom.ua/remote/dispatcher/state_purchase_view/16299101", "UA-2020-04-15-004618-b")</f>
        <v>UA-2020-04-15-004618-b</v>
      </c>
      <c r="C228" s="2" t="str">
        <f>HYPERLINK("https://my.zakupki.prom.ua/remote/dispatcher/state_contracting_view/4121862", "UA-2020-04-15-004618-b-b1")</f>
        <v>UA-2020-04-15-004618-b-b1</v>
      </c>
      <c r="D228" s="1" t="s">
        <v>394</v>
      </c>
      <c r="E228" s="1" t="s">
        <v>394</v>
      </c>
      <c r="F228" s="1" t="s">
        <v>388</v>
      </c>
      <c r="G228" s="1" t="s">
        <v>860</v>
      </c>
      <c r="H228" s="1" t="s">
        <v>1031</v>
      </c>
      <c r="I228" s="1" t="s">
        <v>433</v>
      </c>
      <c r="J228" s="1" t="s">
        <v>87</v>
      </c>
      <c r="K228" s="5">
        <v>200000</v>
      </c>
      <c r="L228" s="6">
        <v>43936</v>
      </c>
      <c r="M228" s="6">
        <v>44196</v>
      </c>
      <c r="N228" s="1" t="s">
        <v>1127</v>
      </c>
      <c r="O228" s="1" t="s">
        <v>1161</v>
      </c>
    </row>
    <row r="229" spans="1:15" x14ac:dyDescent="0.25">
      <c r="A229" s="4">
        <v>225</v>
      </c>
      <c r="B229" s="2" t="str">
        <f>HYPERLINK("https://my.zakupki.prom.ua/remote/dispatcher/state_purchase_view/15417023", "UA-2020-02-21-001217-b")</f>
        <v>UA-2020-02-21-001217-b</v>
      </c>
      <c r="C229" s="2" t="str">
        <f>HYPERLINK("https://my.zakupki.prom.ua/remote/dispatcher/state_contracting_view/3835826", "UA-2020-02-21-001217-b-b1")</f>
        <v>UA-2020-02-21-001217-b-b1</v>
      </c>
      <c r="D229" s="1" t="s">
        <v>826</v>
      </c>
      <c r="E229" s="1" t="s">
        <v>826</v>
      </c>
      <c r="F229" s="1" t="s">
        <v>355</v>
      </c>
      <c r="G229" s="1" t="s">
        <v>860</v>
      </c>
      <c r="H229" s="1" t="s">
        <v>1123</v>
      </c>
      <c r="I229" s="1" t="s">
        <v>204</v>
      </c>
      <c r="J229" s="1" t="s">
        <v>26</v>
      </c>
      <c r="K229" s="5">
        <v>45295</v>
      </c>
      <c r="L229" s="6">
        <v>43882</v>
      </c>
      <c r="M229" s="6">
        <v>44196</v>
      </c>
      <c r="N229" s="1" t="s">
        <v>1127</v>
      </c>
      <c r="O229" s="1" t="s">
        <v>1161</v>
      </c>
    </row>
    <row r="230" spans="1:15" x14ac:dyDescent="0.25">
      <c r="A230" s="4">
        <v>226</v>
      </c>
      <c r="B230" s="2" t="str">
        <f>HYPERLINK("https://my.zakupki.prom.ua/remote/dispatcher/state_purchase_view/14491647", "UA-2020-01-15-000099-c")</f>
        <v>UA-2020-01-15-000099-c</v>
      </c>
      <c r="C230" s="2" t="str">
        <f>HYPERLINK("https://my.zakupki.prom.ua/remote/dispatcher/state_contracting_view/3630846", "UA-2020-01-15-000099-c-c1")</f>
        <v>UA-2020-01-15-000099-c-c1</v>
      </c>
      <c r="D230" s="1" t="s">
        <v>671</v>
      </c>
      <c r="E230" s="1" t="s">
        <v>672</v>
      </c>
      <c r="F230" s="1" t="s">
        <v>670</v>
      </c>
      <c r="G230" s="1" t="s">
        <v>860</v>
      </c>
      <c r="H230" s="1" t="s">
        <v>1049</v>
      </c>
      <c r="I230" s="1" t="s">
        <v>271</v>
      </c>
      <c r="J230" s="1" t="s">
        <v>475</v>
      </c>
      <c r="K230" s="5">
        <v>50000</v>
      </c>
      <c r="L230" s="6">
        <v>43845</v>
      </c>
      <c r="M230" s="6">
        <v>44196</v>
      </c>
      <c r="N230" s="1" t="s">
        <v>1127</v>
      </c>
      <c r="O230" s="1" t="s">
        <v>1161</v>
      </c>
    </row>
    <row r="231" spans="1:15" x14ac:dyDescent="0.25">
      <c r="A231" s="4">
        <v>227</v>
      </c>
      <c r="B231" s="2" t="str">
        <f>HYPERLINK("https://my.zakupki.prom.ua/remote/dispatcher/state_purchase_view/20209075", "UA-2020-10-19-004044-c")</f>
        <v>UA-2020-10-19-004044-c</v>
      </c>
      <c r="C231" s="2" t="str">
        <f>HYPERLINK("https://my.zakupki.prom.ua/remote/dispatcher/state_contracting_view/5926901", "UA-2020-10-19-004044-c-c1")</f>
        <v>UA-2020-10-19-004044-c-c1</v>
      </c>
      <c r="D231" s="1" t="s">
        <v>418</v>
      </c>
      <c r="E231" s="1" t="s">
        <v>1098</v>
      </c>
      <c r="F231" s="1" t="s">
        <v>417</v>
      </c>
      <c r="G231" s="1" t="s">
        <v>860</v>
      </c>
      <c r="H231" s="1" t="s">
        <v>928</v>
      </c>
      <c r="I231" s="1" t="s">
        <v>137</v>
      </c>
      <c r="J231" s="1" t="s">
        <v>372</v>
      </c>
      <c r="K231" s="5">
        <v>15192</v>
      </c>
      <c r="L231" s="6">
        <v>44119</v>
      </c>
      <c r="M231" s="6">
        <v>44196</v>
      </c>
      <c r="N231" s="1" t="s">
        <v>1127</v>
      </c>
      <c r="O231" s="1" t="s">
        <v>1161</v>
      </c>
    </row>
    <row r="232" spans="1:15" x14ac:dyDescent="0.25">
      <c r="A232" s="4">
        <v>228</v>
      </c>
      <c r="B232" s="2" t="str">
        <f>HYPERLINK("https://my.zakupki.prom.ua/remote/dispatcher/state_purchase_view/20832003", "UA-2020-11-06-004260-c")</f>
        <v>UA-2020-11-06-004260-c</v>
      </c>
      <c r="C232" s="2" t="str">
        <f>HYPERLINK("https://my.zakupki.prom.ua/remote/dispatcher/state_contracting_view/6227713", "UA-2020-11-06-004260-c-c1")</f>
        <v>UA-2020-11-06-004260-c-c1</v>
      </c>
      <c r="D232" s="1" t="s">
        <v>48</v>
      </c>
      <c r="E232" s="1" t="s">
        <v>1012</v>
      </c>
      <c r="F232" s="1" t="s">
        <v>47</v>
      </c>
      <c r="G232" s="1" t="s">
        <v>860</v>
      </c>
      <c r="H232" s="1" t="s">
        <v>1039</v>
      </c>
      <c r="I232" s="1" t="s">
        <v>559</v>
      </c>
      <c r="J232" s="1" t="s">
        <v>443</v>
      </c>
      <c r="K232" s="5">
        <v>4800</v>
      </c>
      <c r="L232" s="6">
        <v>44140</v>
      </c>
      <c r="M232" s="6">
        <v>44196</v>
      </c>
      <c r="N232" s="1" t="s">
        <v>1127</v>
      </c>
      <c r="O232" s="1" t="s">
        <v>1161</v>
      </c>
    </row>
    <row r="233" spans="1:15" x14ac:dyDescent="0.25">
      <c r="A233" s="4">
        <v>229</v>
      </c>
      <c r="B233" s="2" t="str">
        <f>HYPERLINK("https://my.zakupki.prom.ua/remote/dispatcher/state_purchase_view/14369610", "UA-2020-01-03-000023-a")</f>
        <v>UA-2020-01-03-000023-a</v>
      </c>
      <c r="C233" s="2" t="str">
        <f>HYPERLINK("https://my.zakupki.prom.ua/remote/dispatcher/state_contracting_view/3611816", "UA-2020-01-03-000023-a-a1")</f>
        <v>UA-2020-01-03-000023-a-a1</v>
      </c>
      <c r="D233" s="1" t="s">
        <v>540</v>
      </c>
      <c r="E233" s="1" t="s">
        <v>541</v>
      </c>
      <c r="F233" s="1" t="s">
        <v>539</v>
      </c>
      <c r="G233" s="1" t="s">
        <v>860</v>
      </c>
      <c r="H233" s="1" t="s">
        <v>934</v>
      </c>
      <c r="I233" s="1" t="s">
        <v>434</v>
      </c>
      <c r="J233" s="1" t="s">
        <v>28</v>
      </c>
      <c r="K233" s="5">
        <v>100000</v>
      </c>
      <c r="L233" s="6">
        <v>43832</v>
      </c>
      <c r="M233" s="6">
        <v>44196</v>
      </c>
      <c r="N233" s="1" t="s">
        <v>1127</v>
      </c>
      <c r="O233" s="1" t="s">
        <v>1161</v>
      </c>
    </row>
    <row r="234" spans="1:15" x14ac:dyDescent="0.25">
      <c r="A234" s="4">
        <v>230</v>
      </c>
      <c r="B234" s="2" t="str">
        <f>HYPERLINK("https://my.zakupki.prom.ua/remote/dispatcher/state_purchase_view/17630527", "UA-2020-07-03-001390-a")</f>
        <v>UA-2020-07-03-001390-a</v>
      </c>
      <c r="C234" s="2" t="str">
        <f>HYPERLINK("https://my.zakupki.prom.ua/remote/dispatcher/state_contracting_view/4714061", "UA-2020-07-03-001390-a-a1")</f>
        <v>UA-2020-07-03-001390-a-a1</v>
      </c>
      <c r="D234" s="1" t="s">
        <v>841</v>
      </c>
      <c r="E234" s="1" t="s">
        <v>973</v>
      </c>
      <c r="F234" s="1" t="s">
        <v>745</v>
      </c>
      <c r="G234" s="1" t="s">
        <v>860</v>
      </c>
      <c r="H234" s="1" t="s">
        <v>813</v>
      </c>
      <c r="I234" s="1" t="s">
        <v>468</v>
      </c>
      <c r="J234" s="1" t="s">
        <v>732</v>
      </c>
      <c r="K234" s="5">
        <v>1076.4000000000001</v>
      </c>
      <c r="L234" s="6">
        <v>44013</v>
      </c>
      <c r="M234" s="6">
        <v>44196</v>
      </c>
      <c r="N234" s="1" t="s">
        <v>1127</v>
      </c>
      <c r="O234" s="1" t="s">
        <v>1161</v>
      </c>
    </row>
    <row r="235" spans="1:15" x14ac:dyDescent="0.25">
      <c r="A235" s="4">
        <v>231</v>
      </c>
      <c r="B235" s="2" t="str">
        <f>HYPERLINK("https://my.zakupki.prom.ua/remote/dispatcher/state_purchase_view/17366400", "UA-2020-06-19-002484-c")</f>
        <v>UA-2020-06-19-002484-c</v>
      </c>
      <c r="C235" s="2" t="str">
        <f>HYPERLINK("https://my.zakupki.prom.ua/remote/dispatcher/state_contracting_view/4591198", "UA-2020-06-19-002484-c-c1")</f>
        <v>UA-2020-06-19-002484-c-c1</v>
      </c>
      <c r="D235" s="1" t="s">
        <v>797</v>
      </c>
      <c r="E235" s="1" t="s">
        <v>798</v>
      </c>
      <c r="F235" s="1" t="s">
        <v>518</v>
      </c>
      <c r="G235" s="1" t="s">
        <v>860</v>
      </c>
      <c r="H235" s="1" t="s">
        <v>1089</v>
      </c>
      <c r="I235" s="1" t="s">
        <v>154</v>
      </c>
      <c r="J235" s="1" t="s">
        <v>145</v>
      </c>
      <c r="K235" s="5">
        <v>45000</v>
      </c>
      <c r="L235" s="6">
        <v>43998</v>
      </c>
      <c r="M235" s="6">
        <v>44196</v>
      </c>
      <c r="N235" s="1" t="s">
        <v>1127</v>
      </c>
      <c r="O235" s="1" t="s">
        <v>1161</v>
      </c>
    </row>
    <row r="236" spans="1:15" x14ac:dyDescent="0.25">
      <c r="A236" s="4">
        <v>232</v>
      </c>
      <c r="B236" s="2" t="str">
        <f>HYPERLINK("https://my.zakupki.prom.ua/remote/dispatcher/state_purchase_view/19625190", "UA-2020-09-25-011249-a")</f>
        <v>UA-2020-09-25-011249-a</v>
      </c>
      <c r="C236" s="2" t="str">
        <f>HYPERLINK("https://my.zakupki.prom.ua/remote/dispatcher/state_contracting_view/6130239", "UA-2020-09-25-011249-a-c1")</f>
        <v>UA-2020-09-25-011249-a-c1</v>
      </c>
      <c r="D236" s="1" t="s">
        <v>312</v>
      </c>
      <c r="E236" s="1" t="s">
        <v>998</v>
      </c>
      <c r="F236" s="1" t="s">
        <v>309</v>
      </c>
      <c r="G236" s="1" t="s">
        <v>843</v>
      </c>
      <c r="H236" s="1" t="s">
        <v>1097</v>
      </c>
      <c r="I236" s="1" t="s">
        <v>460</v>
      </c>
      <c r="J236" s="1" t="s">
        <v>427</v>
      </c>
      <c r="K236" s="5">
        <v>56808</v>
      </c>
      <c r="L236" s="6">
        <v>44132</v>
      </c>
      <c r="M236" s="6">
        <v>44196</v>
      </c>
      <c r="N236" s="1" t="s">
        <v>1136</v>
      </c>
      <c r="O236" s="1" t="s">
        <v>1161</v>
      </c>
    </row>
    <row r="237" spans="1:15" x14ac:dyDescent="0.25">
      <c r="A237" s="4">
        <v>233</v>
      </c>
      <c r="B237" s="2" t="str">
        <f>HYPERLINK("https://my.zakupki.prom.ua/remote/dispatcher/state_purchase_view/19030978", "UA-2020-09-04-010695-b")</f>
        <v>UA-2020-09-04-010695-b</v>
      </c>
      <c r="C237" s="2" t="str">
        <f>HYPERLINK("https://my.zakupki.prom.ua/remote/dispatcher/state_contracting_view/5699711", "UA-2020-09-04-010695-b-b1")</f>
        <v>UA-2020-09-04-010695-b-b1</v>
      </c>
      <c r="D237" s="1" t="s">
        <v>883</v>
      </c>
      <c r="E237" s="1" t="s">
        <v>1147</v>
      </c>
      <c r="F237" s="1" t="s">
        <v>535</v>
      </c>
      <c r="G237" s="1" t="s">
        <v>843</v>
      </c>
      <c r="H237" s="1" t="s">
        <v>923</v>
      </c>
      <c r="I237" s="1" t="s">
        <v>548</v>
      </c>
      <c r="J237" s="1" t="s">
        <v>305</v>
      </c>
      <c r="K237" s="5">
        <v>175800</v>
      </c>
      <c r="L237" s="6">
        <v>44102</v>
      </c>
      <c r="M237" s="6">
        <v>44196</v>
      </c>
      <c r="N237" s="1" t="s">
        <v>1136</v>
      </c>
      <c r="O237" s="1" t="s">
        <v>1161</v>
      </c>
    </row>
    <row r="238" spans="1:15" x14ac:dyDescent="0.25">
      <c r="A238" s="4">
        <v>234</v>
      </c>
      <c r="B238" s="2" t="str">
        <f>HYPERLINK("https://my.zakupki.prom.ua/remote/dispatcher/state_purchase_view/18631609", "UA-2020-08-18-006699-a")</f>
        <v>UA-2020-08-18-006699-a</v>
      </c>
      <c r="C238" s="2" t="str">
        <f>HYPERLINK("https://my.zakupki.prom.ua/remote/dispatcher/state_contracting_view/5313257", "UA-2020-08-18-006699-a-a1")</f>
        <v>UA-2020-08-18-006699-a-a1</v>
      </c>
      <c r="D238" s="1" t="s">
        <v>1010</v>
      </c>
      <c r="E238" s="1" t="s">
        <v>1011</v>
      </c>
      <c r="F238" s="1" t="s">
        <v>568</v>
      </c>
      <c r="G238" s="1" t="s">
        <v>940</v>
      </c>
      <c r="H238" s="1" t="s">
        <v>1037</v>
      </c>
      <c r="I238" s="1" t="s">
        <v>11</v>
      </c>
      <c r="J238" s="1" t="s">
        <v>239</v>
      </c>
      <c r="K238" s="5">
        <v>468000</v>
      </c>
      <c r="L238" s="6">
        <v>44074</v>
      </c>
      <c r="M238" s="6">
        <v>44196</v>
      </c>
      <c r="N238" s="1" t="s">
        <v>1136</v>
      </c>
      <c r="O238" s="1" t="s">
        <v>1161</v>
      </c>
    </row>
    <row r="239" spans="1:15" x14ac:dyDescent="0.25">
      <c r="A239" s="4">
        <v>235</v>
      </c>
      <c r="B239" s="2" t="str">
        <f>HYPERLINK("https://my.zakupki.prom.ua/remote/dispatcher/state_purchase_view/16713705", "UA-2020-05-18-002059-c")</f>
        <v>UA-2020-05-18-002059-c</v>
      </c>
      <c r="C239" s="2" t="str">
        <f>HYPERLINK("https://my.zakupki.prom.ua/remote/dispatcher/state_contracting_view/4673079", "UA-2020-05-18-002059-c-c1")</f>
        <v>UA-2020-05-18-002059-c-c1</v>
      </c>
      <c r="D239" s="1" t="s">
        <v>409</v>
      </c>
      <c r="E239" s="1" t="s">
        <v>882</v>
      </c>
      <c r="F239" s="1" t="s">
        <v>408</v>
      </c>
      <c r="G239" s="1" t="s">
        <v>802</v>
      </c>
      <c r="H239" s="1" t="s">
        <v>1062</v>
      </c>
      <c r="I239" s="1" t="s">
        <v>465</v>
      </c>
      <c r="J239" s="1" t="s">
        <v>160</v>
      </c>
      <c r="K239" s="5">
        <v>1422000</v>
      </c>
      <c r="L239" s="6">
        <v>44007</v>
      </c>
      <c r="M239" s="6">
        <v>44196</v>
      </c>
      <c r="N239" s="1" t="s">
        <v>1136</v>
      </c>
      <c r="O239" s="1" t="s">
        <v>1161</v>
      </c>
    </row>
    <row r="240" spans="1:15" x14ac:dyDescent="0.25">
      <c r="A240" s="4">
        <v>236</v>
      </c>
      <c r="B240" s="2" t="str">
        <f>HYPERLINK("https://my.zakupki.prom.ua/remote/dispatcher/state_purchase_view/16013023", "UA-2020-03-28-000013-b")</f>
        <v>UA-2020-03-28-000013-b</v>
      </c>
      <c r="C240" s="2" t="str">
        <f>HYPERLINK("https://my.zakupki.prom.ua/remote/dispatcher/state_contracting_view/4019578", "UA-2020-03-28-000013-b-b1")</f>
        <v>UA-2020-03-28-000013-b-b1</v>
      </c>
      <c r="D240" s="1" t="s">
        <v>602</v>
      </c>
      <c r="E240" s="1" t="s">
        <v>602</v>
      </c>
      <c r="F240" s="1" t="s">
        <v>599</v>
      </c>
      <c r="G240" s="1" t="s">
        <v>860</v>
      </c>
      <c r="H240" s="1" t="s">
        <v>1064</v>
      </c>
      <c r="I240" s="1" t="s">
        <v>195</v>
      </c>
      <c r="J240" s="1" t="s">
        <v>64</v>
      </c>
      <c r="K240" s="5">
        <v>80000</v>
      </c>
      <c r="L240" s="6">
        <v>43917</v>
      </c>
      <c r="M240" s="6">
        <v>44196</v>
      </c>
      <c r="N240" s="1" t="s">
        <v>1127</v>
      </c>
      <c r="O240" s="1" t="s">
        <v>1161</v>
      </c>
    </row>
    <row r="241" spans="1:15" x14ac:dyDescent="0.25">
      <c r="A241" s="4">
        <v>237</v>
      </c>
      <c r="B241" s="2" t="str">
        <f>HYPERLINK("https://my.zakupki.prom.ua/remote/dispatcher/state_purchase_view/14369546", "UA-2020-01-03-000007-a")</f>
        <v>UA-2020-01-03-000007-a</v>
      </c>
      <c r="C241" s="2" t="str">
        <f>HYPERLINK("https://my.zakupki.prom.ua/remote/dispatcher/state_contracting_view/3611787", "UA-2020-01-03-000007-a-a1")</f>
        <v>UA-2020-01-03-000007-a-a1</v>
      </c>
      <c r="D241" s="1" t="s">
        <v>644</v>
      </c>
      <c r="E241" s="1" t="s">
        <v>645</v>
      </c>
      <c r="F241" s="1" t="s">
        <v>641</v>
      </c>
      <c r="G241" s="1" t="s">
        <v>860</v>
      </c>
      <c r="H241" s="1" t="s">
        <v>920</v>
      </c>
      <c r="I241" s="1" t="s">
        <v>209</v>
      </c>
      <c r="J241" s="1" t="s">
        <v>37</v>
      </c>
      <c r="K241" s="5">
        <v>80000</v>
      </c>
      <c r="L241" s="6">
        <v>43832</v>
      </c>
      <c r="M241" s="6">
        <v>44196</v>
      </c>
      <c r="N241" s="1" t="s">
        <v>1127</v>
      </c>
      <c r="O241" s="1" t="s">
        <v>1161</v>
      </c>
    </row>
    <row r="242" spans="1:15" x14ac:dyDescent="0.25">
      <c r="A242" s="4">
        <v>238</v>
      </c>
      <c r="B242" s="2" t="str">
        <f>HYPERLINK("https://my.zakupki.prom.ua/remote/dispatcher/state_purchase_view/14369563", "UA-2020-01-03-000012-a")</f>
        <v>UA-2020-01-03-000012-a</v>
      </c>
      <c r="C242" s="2" t="str">
        <f>HYPERLINK("https://my.zakupki.prom.ua/remote/dispatcher/state_contracting_view/3611795", "UA-2020-01-03-000012-a-a1")</f>
        <v>UA-2020-01-03-000012-a-a1</v>
      </c>
      <c r="D242" s="1" t="s">
        <v>632</v>
      </c>
      <c r="E242" s="1" t="s">
        <v>631</v>
      </c>
      <c r="F242" s="1" t="s">
        <v>630</v>
      </c>
      <c r="G242" s="1" t="s">
        <v>860</v>
      </c>
      <c r="H242" s="1" t="s">
        <v>1042</v>
      </c>
      <c r="I242" s="1" t="s">
        <v>169</v>
      </c>
      <c r="J242" s="1" t="s">
        <v>22</v>
      </c>
      <c r="K242" s="5">
        <v>50000</v>
      </c>
      <c r="L242" s="6">
        <v>43832</v>
      </c>
      <c r="M242" s="6">
        <v>44196</v>
      </c>
      <c r="N242" s="1" t="s">
        <v>1127</v>
      </c>
      <c r="O242" s="1" t="s">
        <v>1161</v>
      </c>
    </row>
    <row r="243" spans="1:15" x14ac:dyDescent="0.25">
      <c r="A243" s="4">
        <v>239</v>
      </c>
      <c r="B243" s="2" t="str">
        <f>HYPERLINK("https://my.zakupki.prom.ua/remote/dispatcher/state_purchase_view/14403392", "UA-2020-01-09-000092-c")</f>
        <v>UA-2020-01-09-000092-c</v>
      </c>
      <c r="C243" s="2" t="str">
        <f>HYPERLINK("https://my.zakupki.prom.ua/remote/dispatcher/state_contracting_view/3617081", "UA-2020-01-09-000092-c-c1")</f>
        <v>UA-2020-01-09-000092-c-c1</v>
      </c>
      <c r="D243" s="1" t="s">
        <v>494</v>
      </c>
      <c r="E243" s="1" t="s">
        <v>495</v>
      </c>
      <c r="F243" s="1" t="s">
        <v>493</v>
      </c>
      <c r="G243" s="1" t="s">
        <v>860</v>
      </c>
      <c r="H243" s="1" t="s">
        <v>1036</v>
      </c>
      <c r="I243" s="1" t="s">
        <v>428</v>
      </c>
      <c r="J243" s="1" t="s">
        <v>103</v>
      </c>
      <c r="K243" s="5">
        <v>40000</v>
      </c>
      <c r="L243" s="6">
        <v>43838</v>
      </c>
      <c r="M243" s="6">
        <v>44196</v>
      </c>
      <c r="N243" s="1" t="s">
        <v>1127</v>
      </c>
      <c r="O243" s="1" t="s">
        <v>1161</v>
      </c>
    </row>
    <row r="244" spans="1:15" x14ac:dyDescent="0.25">
      <c r="A244" s="4">
        <v>240</v>
      </c>
      <c r="B244" s="2" t="str">
        <f>HYPERLINK("https://my.zakupki.prom.ua/remote/dispatcher/state_purchase_view/14941235", "UA-2020-01-29-003642-b")</f>
        <v>UA-2020-01-29-003642-b</v>
      </c>
      <c r="C244" s="2" t="str">
        <f>HYPERLINK("https://my.zakupki.prom.ua/remote/dispatcher/state_contracting_view/3714251", "UA-2020-01-29-003642-b-b1")</f>
        <v>UA-2020-01-29-003642-b-b1</v>
      </c>
      <c r="D244" s="1" t="s">
        <v>576</v>
      </c>
      <c r="E244" s="1" t="s">
        <v>577</v>
      </c>
      <c r="F244" s="1" t="s">
        <v>568</v>
      </c>
      <c r="G244" s="1" t="s">
        <v>860</v>
      </c>
      <c r="H244" s="1" t="s">
        <v>1056</v>
      </c>
      <c r="I244" s="1" t="s">
        <v>449</v>
      </c>
      <c r="J244" s="1" t="s">
        <v>713</v>
      </c>
      <c r="K244" s="5">
        <v>100000</v>
      </c>
      <c r="L244" s="6">
        <v>43859</v>
      </c>
      <c r="M244" s="6">
        <v>44196</v>
      </c>
      <c r="N244" s="1" t="s">
        <v>1127</v>
      </c>
      <c r="O244" s="1" t="s">
        <v>1161</v>
      </c>
    </row>
    <row r="245" spans="1:15" x14ac:dyDescent="0.25">
      <c r="A245" s="4">
        <v>241</v>
      </c>
      <c r="B245" s="2" t="str">
        <f>HYPERLINK("https://my.zakupki.prom.ua/remote/dispatcher/state_purchase_view/15039370", "UA-2020-02-03-001935-a")</f>
        <v>UA-2020-02-03-001935-a</v>
      </c>
      <c r="C245" s="2" t="str">
        <f>HYPERLINK("https://my.zakupki.prom.ua/remote/dispatcher/state_contracting_view/3737997", "UA-2020-02-03-001935-a-a1")</f>
        <v>UA-2020-02-03-001935-a-a1</v>
      </c>
      <c r="D245" s="1" t="s">
        <v>303</v>
      </c>
      <c r="E245" s="1" t="s">
        <v>304</v>
      </c>
      <c r="F245" s="1" t="s">
        <v>301</v>
      </c>
      <c r="G245" s="1" t="s">
        <v>860</v>
      </c>
      <c r="H245" s="1" t="s">
        <v>1027</v>
      </c>
      <c r="I245" s="1" t="s">
        <v>467</v>
      </c>
      <c r="J245" s="1" t="s">
        <v>725</v>
      </c>
      <c r="K245" s="5">
        <v>237600</v>
      </c>
      <c r="L245" s="6">
        <v>43864</v>
      </c>
      <c r="M245" s="6">
        <v>44196</v>
      </c>
      <c r="N245" s="1" t="s">
        <v>1127</v>
      </c>
      <c r="O245" s="1" t="s">
        <v>1161</v>
      </c>
    </row>
    <row r="246" spans="1:15" x14ac:dyDescent="0.25">
      <c r="A246" s="4">
        <v>242</v>
      </c>
      <c r="B246" s="2" t="str">
        <f>HYPERLINK("https://my.zakupki.prom.ua/remote/dispatcher/state_purchase_view/14416285", "UA-2020-01-10-000060-c")</f>
        <v>UA-2020-01-10-000060-c</v>
      </c>
      <c r="C246" s="2" t="str">
        <f>HYPERLINK("https://my.zakupki.prom.ua/remote/dispatcher/state_contracting_view/3619631", "UA-2020-01-10-000060-c-c1")</f>
        <v>UA-2020-01-10-000060-c-c1</v>
      </c>
      <c r="D246" s="1" t="s">
        <v>257</v>
      </c>
      <c r="E246" s="1" t="s">
        <v>258</v>
      </c>
      <c r="F246" s="1" t="s">
        <v>256</v>
      </c>
      <c r="G246" s="1" t="s">
        <v>860</v>
      </c>
      <c r="H246" s="1" t="s">
        <v>1073</v>
      </c>
      <c r="I246" s="1" t="s">
        <v>255</v>
      </c>
      <c r="J246" s="1" t="s">
        <v>210</v>
      </c>
      <c r="K246" s="5">
        <v>80000</v>
      </c>
      <c r="L246" s="6">
        <v>43839</v>
      </c>
      <c r="M246" s="6">
        <v>44196</v>
      </c>
      <c r="N246" s="1" t="s">
        <v>1127</v>
      </c>
      <c r="O246" s="1" t="s">
        <v>1161</v>
      </c>
    </row>
    <row r="247" spans="1:15" x14ac:dyDescent="0.25">
      <c r="A247" s="4">
        <v>243</v>
      </c>
      <c r="B247" s="2" t="str">
        <f>HYPERLINK("https://my.zakupki.prom.ua/remote/dispatcher/state_purchase_view/14415828", "UA-2020-01-10-000010-c")</f>
        <v>UA-2020-01-10-000010-c</v>
      </c>
      <c r="C247" s="2" t="str">
        <f>HYPERLINK("https://my.zakupki.prom.ua/remote/dispatcher/state_contracting_view/3619556", "UA-2020-01-10-000010-c-c1")</f>
        <v>UA-2020-01-10-000010-c-c1</v>
      </c>
      <c r="D247" s="1" t="s">
        <v>625</v>
      </c>
      <c r="E247" s="1" t="s">
        <v>626</v>
      </c>
      <c r="F247" s="1" t="s">
        <v>622</v>
      </c>
      <c r="G247" s="1" t="s">
        <v>860</v>
      </c>
      <c r="H247" s="1" t="s">
        <v>1040</v>
      </c>
      <c r="I247" s="1" t="s">
        <v>474</v>
      </c>
      <c r="J247" s="1" t="s">
        <v>141</v>
      </c>
      <c r="K247" s="5">
        <v>100000</v>
      </c>
      <c r="L247" s="6">
        <v>43839</v>
      </c>
      <c r="M247" s="6">
        <v>44196</v>
      </c>
      <c r="N247" s="1" t="s">
        <v>1127</v>
      </c>
      <c r="O247" s="1" t="s">
        <v>1161</v>
      </c>
    </row>
    <row r="248" spans="1:15" x14ac:dyDescent="0.25">
      <c r="A248" s="4">
        <v>244</v>
      </c>
      <c r="B248" s="2" t="str">
        <f>HYPERLINK("https://my.zakupki.prom.ua/remote/dispatcher/state_purchase_view/14492180", "UA-2020-01-15-000147-c")</f>
        <v>UA-2020-01-15-000147-c</v>
      </c>
      <c r="C248" s="2" t="str">
        <f>HYPERLINK("https://my.zakupki.prom.ua/remote/dispatcher/state_contracting_view/3630928", "UA-2020-01-15-000147-c-c1")</f>
        <v>UA-2020-01-15-000147-c-c1</v>
      </c>
      <c r="D248" s="1" t="s">
        <v>614</v>
      </c>
      <c r="E248" s="1" t="s">
        <v>615</v>
      </c>
      <c r="F248" s="1" t="s">
        <v>611</v>
      </c>
      <c r="G248" s="1" t="s">
        <v>860</v>
      </c>
      <c r="H248" s="1" t="s">
        <v>1018</v>
      </c>
      <c r="I248" s="1" t="s">
        <v>254</v>
      </c>
      <c r="J248" s="1" t="s">
        <v>514</v>
      </c>
      <c r="K248" s="5">
        <v>300000</v>
      </c>
      <c r="L248" s="6">
        <v>43845</v>
      </c>
      <c r="M248" s="6">
        <v>44196</v>
      </c>
      <c r="N248" s="1" t="s">
        <v>1127</v>
      </c>
      <c r="O248" s="1" t="s">
        <v>1161</v>
      </c>
    </row>
    <row r="249" spans="1:15" x14ac:dyDescent="0.25">
      <c r="A249" s="4">
        <v>245</v>
      </c>
      <c r="B249" s="2" t="str">
        <f>HYPERLINK("https://my.zakupki.prom.ua/remote/dispatcher/state_purchase_view/14354145", "UA-2019-12-29-000112-c")</f>
        <v>UA-2019-12-29-000112-c</v>
      </c>
      <c r="C249" s="2" t="str">
        <f>HYPERLINK("https://my.zakupki.prom.ua/remote/dispatcher/state_contracting_view/3608418", "UA-2019-12-29-000112-c-c1")</f>
        <v>UA-2019-12-29-000112-c-c1</v>
      </c>
      <c r="D249" s="1" t="s">
        <v>308</v>
      </c>
      <c r="E249" s="1" t="s">
        <v>308</v>
      </c>
      <c r="F249" s="1" t="s">
        <v>306</v>
      </c>
      <c r="G249" s="1" t="s">
        <v>860</v>
      </c>
      <c r="H249" s="1" t="s">
        <v>1064</v>
      </c>
      <c r="I249" s="1" t="s">
        <v>195</v>
      </c>
      <c r="J249" s="1" t="s">
        <v>692</v>
      </c>
      <c r="K249" s="5">
        <v>80000</v>
      </c>
      <c r="L249" s="6">
        <v>43828</v>
      </c>
      <c r="M249" s="6">
        <v>44196</v>
      </c>
      <c r="N249" s="1" t="s">
        <v>1127</v>
      </c>
      <c r="O249" s="1" t="s">
        <v>1161</v>
      </c>
    </row>
    <row r="250" spans="1:15" x14ac:dyDescent="0.25">
      <c r="A250" s="4">
        <v>246</v>
      </c>
      <c r="B250" s="2" t="str">
        <f>HYPERLINK("https://my.zakupki.prom.ua/remote/dispatcher/state_purchase_view/14354184", "UA-2019-12-29-000122-c")</f>
        <v>UA-2019-12-29-000122-c</v>
      </c>
      <c r="C250" s="2" t="str">
        <f>HYPERLINK("https://my.zakupki.prom.ua/remote/dispatcher/state_contracting_view/3608432", "UA-2019-12-29-000122-c-c1")</f>
        <v>UA-2019-12-29-000122-c-c1</v>
      </c>
      <c r="D250" s="1" t="s">
        <v>602</v>
      </c>
      <c r="E250" s="1" t="s">
        <v>603</v>
      </c>
      <c r="F250" s="1" t="s">
        <v>599</v>
      </c>
      <c r="G250" s="1" t="s">
        <v>860</v>
      </c>
      <c r="H250" s="1" t="s">
        <v>1064</v>
      </c>
      <c r="I250" s="1" t="s">
        <v>195</v>
      </c>
      <c r="J250" s="1" t="s">
        <v>737</v>
      </c>
      <c r="K250" s="5">
        <v>90000</v>
      </c>
      <c r="L250" s="6">
        <v>43828</v>
      </c>
      <c r="M250" s="6">
        <v>44196</v>
      </c>
      <c r="N250" s="1" t="s">
        <v>1127</v>
      </c>
      <c r="O250" s="1" t="s">
        <v>1161</v>
      </c>
    </row>
    <row r="251" spans="1:15" x14ac:dyDescent="0.25">
      <c r="A251" s="4">
        <v>247</v>
      </c>
      <c r="B251" s="2" t="str">
        <f>HYPERLINK("https://my.zakupki.prom.ua/remote/dispatcher/state_purchase_view/15792798", "UA-2020-03-17-000024-b")</f>
        <v>UA-2020-03-17-000024-b</v>
      </c>
      <c r="C251" s="2" t="str">
        <f>HYPERLINK("https://my.zakupki.prom.ua/remote/dispatcher/state_contracting_view/3946998", "UA-2020-03-17-000024-b-b1")</f>
        <v>UA-2020-03-17-000024-b-b1</v>
      </c>
      <c r="D251" s="1" t="s">
        <v>293</v>
      </c>
      <c r="E251" s="1" t="s">
        <v>293</v>
      </c>
      <c r="F251" s="1" t="s">
        <v>290</v>
      </c>
      <c r="G251" s="1" t="s">
        <v>860</v>
      </c>
      <c r="H251" s="1" t="s">
        <v>994</v>
      </c>
      <c r="I251" s="1" t="s">
        <v>136</v>
      </c>
      <c r="J251" s="1" t="s">
        <v>39</v>
      </c>
      <c r="K251" s="5">
        <v>40000</v>
      </c>
      <c r="L251" s="6">
        <v>43906</v>
      </c>
      <c r="M251" s="6">
        <v>44196</v>
      </c>
      <c r="N251" s="1" t="s">
        <v>1127</v>
      </c>
      <c r="O251" s="1" t="s">
        <v>1161</v>
      </c>
    </row>
    <row r="252" spans="1:15" x14ac:dyDescent="0.25">
      <c r="A252" s="4">
        <v>248</v>
      </c>
      <c r="B252" s="2" t="str">
        <f>HYPERLINK("https://my.zakupki.prom.ua/remote/dispatcher/state_purchase_view/18637071", "UA-2020-08-18-008241-a")</f>
        <v>UA-2020-08-18-008241-a</v>
      </c>
      <c r="C252" s="2" t="str">
        <f>HYPERLINK("https://my.zakupki.prom.ua/remote/dispatcher/state_contracting_view/5183237", "UA-2020-08-18-008241-a-a1")</f>
        <v>UA-2020-08-18-008241-a-a1</v>
      </c>
      <c r="D252" s="1" t="s">
        <v>1003</v>
      </c>
      <c r="E252" s="1" t="s">
        <v>1004</v>
      </c>
      <c r="F252" s="1" t="s">
        <v>57</v>
      </c>
      <c r="G252" s="1" t="s">
        <v>860</v>
      </c>
      <c r="H252" s="1" t="s">
        <v>1066</v>
      </c>
      <c r="I252" s="1" t="s">
        <v>517</v>
      </c>
      <c r="J252" s="1" t="s">
        <v>228</v>
      </c>
      <c r="K252" s="5">
        <v>36000</v>
      </c>
      <c r="L252" s="6">
        <v>44057</v>
      </c>
      <c r="M252" s="6">
        <v>44196</v>
      </c>
      <c r="N252" s="1" t="s">
        <v>1127</v>
      </c>
      <c r="O252" s="1" t="s">
        <v>1161</v>
      </c>
    </row>
    <row r="253" spans="1:15" x14ac:dyDescent="0.25">
      <c r="A253" s="4">
        <v>249</v>
      </c>
      <c r="B253" s="2" t="str">
        <f>HYPERLINK("https://my.zakupki.prom.ua/remote/dispatcher/state_purchase_view/17037196", "UA-2020-06-04-000393-b")</f>
        <v>UA-2020-06-04-000393-b</v>
      </c>
      <c r="C253" s="2" t="str">
        <f>HYPERLINK("https://my.zakupki.prom.ua/remote/dispatcher/state_contracting_view/4440106", "UA-2020-06-04-000393-b-b1")</f>
        <v>UA-2020-06-04-000393-b-b1</v>
      </c>
      <c r="D253" s="1" t="s">
        <v>90</v>
      </c>
      <c r="E253" s="1" t="s">
        <v>889</v>
      </c>
      <c r="F253" s="1" t="s">
        <v>89</v>
      </c>
      <c r="G253" s="1" t="s">
        <v>860</v>
      </c>
      <c r="H253" s="1" t="s">
        <v>1068</v>
      </c>
      <c r="I253" s="1" t="s">
        <v>549</v>
      </c>
      <c r="J253" s="1" t="s">
        <v>132</v>
      </c>
      <c r="K253" s="5">
        <v>21743.71</v>
      </c>
      <c r="L253" s="6">
        <v>43984</v>
      </c>
      <c r="M253" s="6">
        <v>44196</v>
      </c>
      <c r="N253" s="1" t="s">
        <v>1127</v>
      </c>
      <c r="O253" s="1" t="s">
        <v>1161</v>
      </c>
    </row>
    <row r="254" spans="1:15" x14ac:dyDescent="0.25">
      <c r="A254" s="4">
        <v>250</v>
      </c>
      <c r="B254" s="2" t="str">
        <f>HYPERLINK("https://my.zakupki.prom.ua/remote/dispatcher/state_purchase_view/21284732", "UA-2020-11-20-007681-c")</f>
        <v>UA-2020-11-20-007681-c</v>
      </c>
      <c r="C254" s="2" t="str">
        <f>HYPERLINK("https://my.zakupki.prom.ua/remote/dispatcher/state_contracting_view/6440547", "UA-2020-11-20-007681-c-c1")</f>
        <v>UA-2020-11-20-007681-c-c1</v>
      </c>
      <c r="D254" s="1" t="s">
        <v>359</v>
      </c>
      <c r="E254" s="1" t="s">
        <v>1138</v>
      </c>
      <c r="F254" s="1" t="s">
        <v>358</v>
      </c>
      <c r="G254" s="1" t="s">
        <v>860</v>
      </c>
      <c r="H254" s="1" t="s">
        <v>927</v>
      </c>
      <c r="I254" s="1" t="s">
        <v>161</v>
      </c>
      <c r="J254" s="1" t="s">
        <v>12</v>
      </c>
      <c r="K254" s="5">
        <v>1550</v>
      </c>
      <c r="L254" s="6">
        <v>44154</v>
      </c>
      <c r="M254" s="6">
        <v>44196</v>
      </c>
      <c r="N254" s="1" t="s">
        <v>1127</v>
      </c>
      <c r="O254" s="1" t="s">
        <v>1161</v>
      </c>
    </row>
    <row r="255" spans="1:15" x14ac:dyDescent="0.25">
      <c r="A255" s="4">
        <v>251</v>
      </c>
      <c r="B255" s="2" t="str">
        <f>HYPERLINK("https://my.zakupki.prom.ua/remote/dispatcher/state_purchase_view/21653029", "UA-2020-12-02-005701-b")</f>
        <v>UA-2020-12-02-005701-b</v>
      </c>
      <c r="C255" s="2" t="str">
        <f>HYPERLINK("https://my.zakupki.prom.ua/remote/dispatcher/state_contracting_view/6612518", "UA-2020-12-02-005701-b-b1")</f>
        <v>UA-2020-12-02-005701-b-b1</v>
      </c>
      <c r="D255" s="1" t="s">
        <v>349</v>
      </c>
      <c r="E255" s="1" t="s">
        <v>1140</v>
      </c>
      <c r="F255" s="1" t="s">
        <v>351</v>
      </c>
      <c r="G255" s="1" t="s">
        <v>860</v>
      </c>
      <c r="H255" s="1" t="s">
        <v>1049</v>
      </c>
      <c r="I255" s="1" t="s">
        <v>271</v>
      </c>
      <c r="J255" s="1" t="s">
        <v>497</v>
      </c>
      <c r="K255" s="5">
        <v>9600.1200000000008</v>
      </c>
      <c r="L255" s="6">
        <v>44166</v>
      </c>
      <c r="M255" s="6">
        <v>44196</v>
      </c>
      <c r="N255" s="1" t="s">
        <v>1127</v>
      </c>
      <c r="O255" s="1" t="s">
        <v>1161</v>
      </c>
    </row>
    <row r="256" spans="1:15" x14ac:dyDescent="0.25">
      <c r="A256" s="4">
        <v>252</v>
      </c>
      <c r="B256" s="2" t="str">
        <f>HYPERLINK("https://my.zakupki.prom.ua/remote/dispatcher/state_purchase_view/14403275", "UA-2020-01-09-000059-c")</f>
        <v>UA-2020-01-09-000059-c</v>
      </c>
      <c r="C256" s="2" t="str">
        <f>HYPERLINK("https://my.zakupki.prom.ua/remote/dispatcher/state_contracting_view/3617058", "UA-2020-01-09-000059-c-c1")</f>
        <v>UA-2020-01-09-000059-c-c1</v>
      </c>
      <c r="D256" s="1" t="s">
        <v>184</v>
      </c>
      <c r="E256" s="1" t="s">
        <v>185</v>
      </c>
      <c r="F256" s="1" t="s">
        <v>183</v>
      </c>
      <c r="G256" s="1" t="s">
        <v>860</v>
      </c>
      <c r="H256" s="1" t="s">
        <v>935</v>
      </c>
      <c r="I256" s="1" t="s">
        <v>149</v>
      </c>
      <c r="J256" s="1" t="s">
        <v>78</v>
      </c>
      <c r="K256" s="5">
        <v>70000</v>
      </c>
      <c r="L256" s="6">
        <v>43838</v>
      </c>
      <c r="M256" s="6">
        <v>44196</v>
      </c>
      <c r="N256" s="1" t="s">
        <v>1127</v>
      </c>
      <c r="O256" s="1" t="s">
        <v>1161</v>
      </c>
    </row>
    <row r="257" spans="1:15" x14ac:dyDescent="0.25">
      <c r="A257" s="4">
        <v>253</v>
      </c>
      <c r="B257" s="2" t="str">
        <f>HYPERLINK("https://my.zakupki.prom.ua/remote/dispatcher/state_purchase_view/18055072", "UA-2020-07-22-007887-b")</f>
        <v>UA-2020-07-22-007887-b</v>
      </c>
      <c r="C257" s="2" t="str">
        <f>HYPERLINK("https://my.zakupki.prom.ua/remote/dispatcher/state_contracting_view/5180542", "UA-2020-07-22-007887-b-a1")</f>
        <v>UA-2020-07-22-007887-b-a1</v>
      </c>
      <c r="D257" s="1" t="s">
        <v>302</v>
      </c>
      <c r="E257" s="1" t="s">
        <v>1129</v>
      </c>
      <c r="F257" s="1" t="s">
        <v>301</v>
      </c>
      <c r="G257" s="1" t="s">
        <v>843</v>
      </c>
      <c r="H257" s="1" t="s">
        <v>763</v>
      </c>
      <c r="I257" s="1" t="s">
        <v>467</v>
      </c>
      <c r="J257" s="1" t="s">
        <v>229</v>
      </c>
      <c r="K257" s="5">
        <v>530880</v>
      </c>
      <c r="L257" s="6">
        <v>44057</v>
      </c>
      <c r="M257" s="6">
        <v>44196</v>
      </c>
      <c r="N257" s="1" t="s">
        <v>1136</v>
      </c>
      <c r="O257" s="1" t="s">
        <v>1161</v>
      </c>
    </row>
    <row r="258" spans="1:15" x14ac:dyDescent="0.25">
      <c r="A258" s="4">
        <v>254</v>
      </c>
      <c r="B258" s="2" t="str">
        <f>HYPERLINK("https://my.zakupki.prom.ua/remote/dispatcher/state_purchase_view/16915709", "UA-2020-05-28-003214-b")</f>
        <v>UA-2020-05-28-003214-b</v>
      </c>
      <c r="C258" s="2" t="str">
        <f>HYPERLINK("https://my.zakupki.prom.ua/remote/dispatcher/state_contracting_view/4718872", "UA-2020-05-28-003214-b-c2")</f>
        <v>UA-2020-05-28-003214-b-c2</v>
      </c>
      <c r="D258" s="1" t="s">
        <v>44</v>
      </c>
      <c r="E258" s="1" t="s">
        <v>1122</v>
      </c>
      <c r="F258" s="1" t="s">
        <v>43</v>
      </c>
      <c r="G258" s="1" t="s">
        <v>843</v>
      </c>
      <c r="H258" s="1" t="s">
        <v>790</v>
      </c>
      <c r="I258" s="1" t="s">
        <v>559</v>
      </c>
      <c r="J258" s="1" t="s">
        <v>173</v>
      </c>
      <c r="K258" s="5">
        <v>505000</v>
      </c>
      <c r="L258" s="6">
        <v>44014</v>
      </c>
      <c r="M258" s="6">
        <v>44196</v>
      </c>
      <c r="N258" s="1" t="s">
        <v>1136</v>
      </c>
      <c r="O258" s="1" t="s">
        <v>1161</v>
      </c>
    </row>
    <row r="259" spans="1:15" x14ac:dyDescent="0.25">
      <c r="A259" s="4">
        <v>255</v>
      </c>
      <c r="B259" s="2" t="str">
        <f>HYPERLINK("https://my.zakupki.prom.ua/remote/dispatcher/state_purchase_view/19184877", "UA-2020-09-10-009609-b")</f>
        <v>UA-2020-09-10-009609-b</v>
      </c>
      <c r="C259" s="2" t="str">
        <f>HYPERLINK("https://my.zakupki.prom.ua/remote/dispatcher/state_contracting_view/5813478", "UA-2020-09-10-009609-b-a1")</f>
        <v>UA-2020-09-10-009609-b-a1</v>
      </c>
      <c r="D259" s="1" t="s">
        <v>1092</v>
      </c>
      <c r="E259" s="1" t="s">
        <v>1137</v>
      </c>
      <c r="F259" s="1" t="s">
        <v>670</v>
      </c>
      <c r="G259" s="1" t="s">
        <v>843</v>
      </c>
      <c r="H259" s="1" t="s">
        <v>777</v>
      </c>
      <c r="I259" s="1" t="s">
        <v>241</v>
      </c>
      <c r="J259" s="1" t="s">
        <v>354</v>
      </c>
      <c r="K259" s="5">
        <v>40000</v>
      </c>
      <c r="L259" s="6">
        <v>44113</v>
      </c>
      <c r="M259" s="6">
        <v>44196</v>
      </c>
      <c r="N259" s="1" t="s">
        <v>1136</v>
      </c>
      <c r="O259" s="1" t="s">
        <v>1161</v>
      </c>
    </row>
    <row r="260" spans="1:15" x14ac:dyDescent="0.25">
      <c r="A260" s="4">
        <v>256</v>
      </c>
      <c r="B260" s="2" t="str">
        <f>HYPERLINK("https://my.zakupki.prom.ua/remote/dispatcher/state_purchase_view/17584315", "UA-2020-07-01-005675-a")</f>
        <v>UA-2020-07-01-005675-a</v>
      </c>
      <c r="C260" s="2" t="str">
        <f>HYPERLINK("https://my.zakupki.prom.ua/remote/dispatcher/state_contracting_view/5236290", "UA-2020-07-01-005675-a-b1")</f>
        <v>UA-2020-07-01-005675-a-b1</v>
      </c>
      <c r="D260" s="1" t="s">
        <v>830</v>
      </c>
      <c r="E260" s="1" t="s">
        <v>795</v>
      </c>
      <c r="F260" s="1" t="s">
        <v>552</v>
      </c>
      <c r="G260" s="1" t="s">
        <v>843</v>
      </c>
      <c r="H260" s="1" t="s">
        <v>867</v>
      </c>
      <c r="I260" s="1" t="s">
        <v>442</v>
      </c>
      <c r="J260" s="1" t="s">
        <v>222</v>
      </c>
      <c r="K260" s="5">
        <v>82200</v>
      </c>
      <c r="L260" s="6">
        <v>44039</v>
      </c>
      <c r="M260" s="6">
        <v>44196</v>
      </c>
      <c r="N260" s="1" t="s">
        <v>1136</v>
      </c>
      <c r="O260" s="1" t="s">
        <v>1161</v>
      </c>
    </row>
    <row r="261" spans="1:15" x14ac:dyDescent="0.25">
      <c r="A261" s="4">
        <v>257</v>
      </c>
      <c r="B261" s="2" t="str">
        <f>HYPERLINK("https://my.zakupki.prom.ua/remote/dispatcher/state_purchase_view/19621210", "UA-2020-09-25-009827-a")</f>
        <v>UA-2020-09-25-009827-a</v>
      </c>
      <c r="C261" s="2" t="str">
        <f>HYPERLINK("https://my.zakupki.prom.ua/remote/dispatcher/state_contracting_view/5760525", "UA-2020-09-25-009827-a-a1")</f>
        <v>UA-2020-09-25-009827-a-a1</v>
      </c>
      <c r="D261" s="1" t="s">
        <v>339</v>
      </c>
      <c r="E261" s="1" t="s">
        <v>863</v>
      </c>
      <c r="F261" s="1" t="s">
        <v>338</v>
      </c>
      <c r="G261" s="1" t="s">
        <v>940</v>
      </c>
      <c r="H261" s="1" t="s">
        <v>1051</v>
      </c>
      <c r="I261" s="1" t="s">
        <v>550</v>
      </c>
      <c r="J261" s="1" t="s">
        <v>345</v>
      </c>
      <c r="K261" s="5">
        <v>1550922.5</v>
      </c>
      <c r="L261" s="6">
        <v>44110</v>
      </c>
      <c r="M261" s="6">
        <v>44196</v>
      </c>
      <c r="N261" s="1" t="s">
        <v>1136</v>
      </c>
      <c r="O261" s="1" t="s">
        <v>1161</v>
      </c>
    </row>
    <row r="262" spans="1:15" x14ac:dyDescent="0.25">
      <c r="A262" s="4">
        <v>258</v>
      </c>
      <c r="B262" s="2" t="str">
        <f>HYPERLINK("https://my.zakupki.prom.ua/remote/dispatcher/state_purchase_view/20513101", "UA-2020-10-27-006920-a")</f>
        <v>UA-2020-10-27-006920-a</v>
      </c>
      <c r="C262" s="2" t="str">
        <f>HYPERLINK("https://my.zakupki.prom.ua/remote/dispatcher/state_contracting_view/6524219", "UA-2020-10-27-006920-a-c1")</f>
        <v>UA-2020-10-27-006920-a-c1</v>
      </c>
      <c r="D262" s="1" t="s">
        <v>390</v>
      </c>
      <c r="E262" s="1" t="s">
        <v>906</v>
      </c>
      <c r="F262" s="1" t="s">
        <v>388</v>
      </c>
      <c r="G262" s="1" t="s">
        <v>843</v>
      </c>
      <c r="H262" s="1" t="s">
        <v>1033</v>
      </c>
      <c r="I262" s="1" t="s">
        <v>492</v>
      </c>
      <c r="J262" s="1" t="s">
        <v>471</v>
      </c>
      <c r="K262" s="5">
        <v>374000</v>
      </c>
      <c r="L262" s="6">
        <v>44160</v>
      </c>
      <c r="M262" s="6">
        <v>44196</v>
      </c>
      <c r="N262" s="1" t="s">
        <v>1136</v>
      </c>
      <c r="O262" s="1" t="s">
        <v>1161</v>
      </c>
    </row>
    <row r="263" spans="1:15" x14ac:dyDescent="0.25">
      <c r="A263" s="1" t="s">
        <v>864</v>
      </c>
    </row>
  </sheetData>
  <autoFilter ref="A4:N262"/>
  <hyperlinks>
    <hyperlink ref="A2" r:id="rId1" display="mailto:report.zakupki@prom.ua"/>
    <hyperlink ref="B5" r:id="rId2" display="https://my.zakupki.prom.ua/remote/dispatcher/state_purchase_view/16945058"/>
    <hyperlink ref="C5" r:id="rId3" display="https://my.zakupki.prom.ua/remote/dispatcher/state_contracting_view/4696516"/>
    <hyperlink ref="B6" r:id="rId4" display="https://my.zakupki.prom.ua/remote/dispatcher/state_purchase_view/19742583"/>
    <hyperlink ref="C6" r:id="rId5" display="https://my.zakupki.prom.ua/remote/dispatcher/state_contracting_view/6090700"/>
    <hyperlink ref="B7" r:id="rId6" display="https://my.zakupki.prom.ua/remote/dispatcher/state_purchase_view/19014053"/>
    <hyperlink ref="C7" r:id="rId7" display="https://my.zakupki.prom.ua/remote/dispatcher/state_contracting_view/5701409"/>
    <hyperlink ref="B8" r:id="rId8" display="https://my.zakupki.prom.ua/remote/dispatcher/state_purchase_view/14354158"/>
    <hyperlink ref="C8" r:id="rId9" display="https://my.zakupki.prom.ua/remote/dispatcher/state_contracting_view/3608421"/>
    <hyperlink ref="B9" r:id="rId10" display="https://my.zakupki.prom.ua/remote/dispatcher/state_purchase_view/14403051"/>
    <hyperlink ref="C9" r:id="rId11" display="https://my.zakupki.prom.ua/remote/dispatcher/state_contracting_view/3617035"/>
    <hyperlink ref="B10" r:id="rId12" display="https://my.zakupki.prom.ua/remote/dispatcher/state_purchase_view/14635802"/>
    <hyperlink ref="C10" r:id="rId13" display="https://my.zakupki.prom.ua/remote/dispatcher/state_contracting_view/3651515"/>
    <hyperlink ref="B11" r:id="rId14" display="https://my.zakupki.prom.ua/remote/dispatcher/state_purchase_view/14718880"/>
    <hyperlink ref="C11" r:id="rId15" display="https://my.zakupki.prom.ua/remote/dispatcher/state_contracting_view/3669199"/>
    <hyperlink ref="B12" r:id="rId16" display="https://my.zakupki.prom.ua/remote/dispatcher/state_purchase_view/15008124"/>
    <hyperlink ref="C12" r:id="rId17" display="https://my.zakupki.prom.ua/remote/dispatcher/state_contracting_view/3730470"/>
    <hyperlink ref="B13" r:id="rId18" display="https://my.zakupki.prom.ua/remote/dispatcher/state_purchase_view/14673198"/>
    <hyperlink ref="C13" r:id="rId19" display="https://my.zakupki.prom.ua/remote/dispatcher/state_contracting_view/3660846"/>
    <hyperlink ref="B14" r:id="rId20" display="https://my.zakupki.prom.ua/remote/dispatcher/state_purchase_view/14778651"/>
    <hyperlink ref="C14" r:id="rId21" display="https://my.zakupki.prom.ua/remote/dispatcher/state_contracting_view/3678251"/>
    <hyperlink ref="B15" r:id="rId22" display="https://my.zakupki.prom.ua/remote/dispatcher/state_purchase_view/14863628"/>
    <hyperlink ref="C15" r:id="rId23" display="https://my.zakupki.prom.ua/remote/dispatcher/state_contracting_view/3695584"/>
    <hyperlink ref="B16" r:id="rId24" display="https://my.zakupki.prom.ua/remote/dispatcher/state_purchase_view/16131666"/>
    <hyperlink ref="C16" r:id="rId25" display="https://my.zakupki.prom.ua/remote/dispatcher/state_contracting_view/4061241"/>
    <hyperlink ref="B17" r:id="rId26" display="https://my.zakupki.prom.ua/remote/dispatcher/state_purchase_view/15914755"/>
    <hyperlink ref="C17" r:id="rId27" display="https://my.zakupki.prom.ua/remote/dispatcher/state_contracting_view/3985805"/>
    <hyperlink ref="B18" r:id="rId28" display="https://my.zakupki.prom.ua/remote/dispatcher/state_purchase_view/16028700"/>
    <hyperlink ref="C18" r:id="rId29" display="https://my.zakupki.prom.ua/remote/dispatcher/state_contracting_view/4025163"/>
    <hyperlink ref="B19" r:id="rId30" display="https://my.zakupki.prom.ua/remote/dispatcher/state_purchase_view/16938737"/>
    <hyperlink ref="C19" r:id="rId31" display="https://my.zakupki.prom.ua/remote/dispatcher/state_contracting_view/4395639"/>
    <hyperlink ref="B20" r:id="rId32" display="https://my.zakupki.prom.ua/remote/dispatcher/state_purchase_view/16992200"/>
    <hyperlink ref="C20" r:id="rId33" display="https://my.zakupki.prom.ua/remote/dispatcher/state_contracting_view/4418906"/>
    <hyperlink ref="B21" r:id="rId34" display="https://my.zakupki.prom.ua/remote/dispatcher/state_purchase_view/16990671"/>
    <hyperlink ref="C21" r:id="rId35" display="https://my.zakupki.prom.ua/remote/dispatcher/state_contracting_view/4418295"/>
    <hyperlink ref="B22" r:id="rId36" display="https://my.zakupki.prom.ua/remote/dispatcher/state_purchase_view/16950590"/>
    <hyperlink ref="C22" r:id="rId37" display="https://my.zakupki.prom.ua/remote/dispatcher/state_contracting_view/4400523"/>
    <hyperlink ref="B23" r:id="rId38" display="https://my.zakupki.prom.ua/remote/dispatcher/state_purchase_view/21727266"/>
    <hyperlink ref="C23" r:id="rId39" display="https://my.zakupki.prom.ua/remote/dispatcher/state_contracting_view/6646590"/>
    <hyperlink ref="B24" r:id="rId40" display="https://my.zakupki.prom.ua/remote/dispatcher/state_purchase_view/17950719"/>
    <hyperlink ref="C24" r:id="rId41" display="https://my.zakupki.prom.ua/remote/dispatcher/state_contracting_view/4862344"/>
    <hyperlink ref="B25" r:id="rId42" display="https://my.zakupki.prom.ua/remote/dispatcher/state_purchase_view/17638190"/>
    <hyperlink ref="C25" r:id="rId43" display="https://my.zakupki.prom.ua/remote/dispatcher/state_contracting_view/4717403"/>
    <hyperlink ref="B26" r:id="rId44" display="https://my.zakupki.prom.ua/remote/dispatcher/state_purchase_view/17407021"/>
    <hyperlink ref="C26" r:id="rId45" display="https://my.zakupki.prom.ua/remote/dispatcher/state_contracting_view/4609719"/>
    <hyperlink ref="B27" r:id="rId46" display="https://my.zakupki.prom.ua/remote/dispatcher/state_purchase_view/19913855"/>
    <hyperlink ref="C27" r:id="rId47" display="https://my.zakupki.prom.ua/remote/dispatcher/state_contracting_view/5787690"/>
    <hyperlink ref="B28" r:id="rId48" display="https://my.zakupki.prom.ua/remote/dispatcher/state_purchase_view/22209572"/>
    <hyperlink ref="C28" r:id="rId49" display="https://my.zakupki.prom.ua/remote/dispatcher/state_contracting_view/7174886"/>
    <hyperlink ref="B29" r:id="rId50" display="https://my.zakupki.prom.ua/remote/dispatcher/state_purchase_view/21226620"/>
    <hyperlink ref="C29" r:id="rId51" display="https://my.zakupki.prom.ua/remote/dispatcher/state_contracting_view/6710613"/>
    <hyperlink ref="B30" r:id="rId52" display="https://my.zakupki.prom.ua/remote/dispatcher/state_purchase_view/14354119"/>
    <hyperlink ref="C30" r:id="rId53" display="https://my.zakupki.prom.ua/remote/dispatcher/state_contracting_view/3608415"/>
    <hyperlink ref="B31" r:id="rId54" display="https://my.zakupki.prom.ua/remote/dispatcher/state_purchase_view/14354170"/>
    <hyperlink ref="C31" r:id="rId55" display="https://my.zakupki.prom.ua/remote/dispatcher/state_contracting_view/3608428"/>
    <hyperlink ref="B32" r:id="rId56" display="https://my.zakupki.prom.ua/remote/dispatcher/state_purchase_view/14636288"/>
    <hyperlink ref="C32" r:id="rId57" display="https://my.zakupki.prom.ua/remote/dispatcher/state_contracting_view/3652265"/>
    <hyperlink ref="B33" r:id="rId58" display="https://my.zakupki.prom.ua/remote/dispatcher/state_purchase_view/15303107"/>
    <hyperlink ref="C33" r:id="rId59" display="https://my.zakupki.prom.ua/remote/dispatcher/state_contracting_view/3804887"/>
    <hyperlink ref="B34" r:id="rId60" display="https://my.zakupki.prom.ua/remote/dispatcher/state_purchase_view/15096304"/>
    <hyperlink ref="C34" r:id="rId61" display="https://my.zakupki.prom.ua/remote/dispatcher/state_contracting_view/3752206"/>
    <hyperlink ref="B35" r:id="rId62" display="https://my.zakupki.prom.ua/remote/dispatcher/state_purchase_view/15040156"/>
    <hyperlink ref="C35" r:id="rId63" display="https://my.zakupki.prom.ua/remote/dispatcher/state_contracting_view/3737729"/>
    <hyperlink ref="B36" r:id="rId64" display="https://my.zakupki.prom.ua/remote/dispatcher/state_purchase_view/16130891"/>
    <hyperlink ref="C36" r:id="rId65" display="https://my.zakupki.prom.ua/remote/dispatcher/state_contracting_view/4061003"/>
    <hyperlink ref="B37" r:id="rId66" display="https://my.zakupki.prom.ua/remote/dispatcher/state_purchase_view/15646063"/>
    <hyperlink ref="C37" r:id="rId67" display="https://my.zakupki.prom.ua/remote/dispatcher/state_contracting_view/3902975"/>
    <hyperlink ref="B38" r:id="rId68" display="https://my.zakupki.prom.ua/remote/dispatcher/state_purchase_view/16986388"/>
    <hyperlink ref="C38" r:id="rId69" display="https://my.zakupki.prom.ua/remote/dispatcher/state_contracting_view/4415951"/>
    <hyperlink ref="B39" r:id="rId70" display="https://my.zakupki.prom.ua/remote/dispatcher/state_purchase_view/17910744"/>
    <hyperlink ref="C39" r:id="rId71" display="https://my.zakupki.prom.ua/remote/dispatcher/state_contracting_view/4855082"/>
    <hyperlink ref="B40" r:id="rId72" display="https://my.zakupki.prom.ua/remote/dispatcher/state_purchase_view/18642420"/>
    <hyperlink ref="C40" r:id="rId73" display="https://my.zakupki.prom.ua/remote/dispatcher/state_contracting_view/5185900"/>
    <hyperlink ref="B41" r:id="rId74" display="https://my.zakupki.prom.ua/remote/dispatcher/state_purchase_view/21050309"/>
    <hyperlink ref="C41" r:id="rId75" display="https://my.zakupki.prom.ua/remote/dispatcher/state_contracting_view/6345989"/>
    <hyperlink ref="B42" r:id="rId76" display="https://my.zakupki.prom.ua/remote/dispatcher/state_purchase_view/15744146"/>
    <hyperlink ref="C42" r:id="rId77" display="https://my.zakupki.prom.ua/remote/dispatcher/state_contracting_view/4081759"/>
    <hyperlink ref="B43" r:id="rId78" display="https://my.zakupki.prom.ua/remote/dispatcher/state_purchase_view/19652544"/>
    <hyperlink ref="C43" r:id="rId79" display="https://my.zakupki.prom.ua/remote/dispatcher/state_contracting_view/6130526"/>
    <hyperlink ref="B44" r:id="rId80" display="https://my.zakupki.prom.ua/remote/dispatcher/state_purchase_view/20467327"/>
    <hyperlink ref="C44" r:id="rId81" display="https://my.zakupki.prom.ua/remote/dispatcher/state_contracting_view/6390200"/>
    <hyperlink ref="B45" r:id="rId82" display="https://my.zakupki.prom.ua/remote/dispatcher/state_purchase_view/21002282"/>
    <hyperlink ref="C45" r:id="rId83" display="https://my.zakupki.prom.ua/remote/dispatcher/state_contracting_view/6826576"/>
    <hyperlink ref="B46" r:id="rId84" display="https://my.zakupki.prom.ua/remote/dispatcher/state_purchase_view/19699657"/>
    <hyperlink ref="C46" r:id="rId85" display="https://my.zakupki.prom.ua/remote/dispatcher/state_contracting_view/6170244"/>
    <hyperlink ref="B47" r:id="rId86" display="https://my.zakupki.prom.ua/remote/dispatcher/state_purchase_view/21511800"/>
    <hyperlink ref="C47" r:id="rId87" display="https://my.zakupki.prom.ua/remote/dispatcher/state_contracting_view/6546507"/>
    <hyperlink ref="B48" r:id="rId88" display="https://my.zakupki.prom.ua/remote/dispatcher/state_purchase_view/20834067"/>
    <hyperlink ref="C48" r:id="rId89" display="https://my.zakupki.prom.ua/remote/dispatcher/state_contracting_view/6243120"/>
    <hyperlink ref="B49" r:id="rId90" display="https://my.zakupki.prom.ua/remote/dispatcher/state_purchase_view/16787197"/>
    <hyperlink ref="C49" r:id="rId91" display="https://my.zakupki.prom.ua/remote/dispatcher/state_contracting_view/4326684"/>
    <hyperlink ref="B50" r:id="rId92" display="https://my.zakupki.prom.ua/remote/dispatcher/state_purchase_view/14718836"/>
    <hyperlink ref="C50" r:id="rId93" display="https://my.zakupki.prom.ua/remote/dispatcher/state_contracting_view/3669177"/>
    <hyperlink ref="B51" r:id="rId94" display="https://my.zakupki.prom.ua/remote/dispatcher/state_purchase_view/19046985"/>
    <hyperlink ref="C51" r:id="rId95" display="https://my.zakupki.prom.ua/remote/dispatcher/state_contracting_view/5378140"/>
    <hyperlink ref="B52" r:id="rId96" display="https://my.zakupki.prom.ua/remote/dispatcher/state_purchase_view/14867706"/>
    <hyperlink ref="C52" r:id="rId97" display="https://my.zakupki.prom.ua/remote/dispatcher/state_contracting_view/3696692"/>
    <hyperlink ref="B53" r:id="rId98" display="https://my.zakupki.prom.ua/remote/dispatcher/state_purchase_view/20120934"/>
    <hyperlink ref="C53" r:id="rId99" display="https://my.zakupki.prom.ua/remote/dispatcher/state_contracting_view/5889118"/>
    <hyperlink ref="B54" r:id="rId100" display="https://my.zakupki.prom.ua/remote/dispatcher/state_purchase_view/17737316"/>
    <hyperlink ref="C54" r:id="rId101" display="https://my.zakupki.prom.ua/remote/dispatcher/state_contracting_view/4763206"/>
    <hyperlink ref="B55" r:id="rId102" display="https://my.zakupki.prom.ua/remote/dispatcher/state_purchase_view/14465881"/>
    <hyperlink ref="C55" r:id="rId103" display="https://my.zakupki.prom.ua/remote/dispatcher/state_contracting_view/3627078"/>
    <hyperlink ref="B56" r:id="rId104" display="https://my.zakupki.prom.ua/remote/dispatcher/state_purchase_view/14369662"/>
    <hyperlink ref="C56" r:id="rId105" display="https://my.zakupki.prom.ua/remote/dispatcher/state_contracting_view/3611839"/>
    <hyperlink ref="B57" r:id="rId106" display="https://my.zakupki.prom.ua/remote/dispatcher/state_purchase_view/14415835"/>
    <hyperlink ref="C57" r:id="rId107" display="https://my.zakupki.prom.ua/remote/dispatcher/state_contracting_view/3619566"/>
    <hyperlink ref="B58" r:id="rId108" display="https://my.zakupki.prom.ua/remote/dispatcher/state_purchase_view/15208043"/>
    <hyperlink ref="C58" r:id="rId109" display="https://my.zakupki.prom.ua/remote/dispatcher/state_contracting_view/3779364"/>
    <hyperlink ref="B59" r:id="rId110" display="https://my.zakupki.prom.ua/remote/dispatcher/state_purchase_view/15847167"/>
    <hyperlink ref="C59" r:id="rId111" display="https://my.zakupki.prom.ua/remote/dispatcher/state_contracting_view/3964903"/>
    <hyperlink ref="B60" r:id="rId112" display="https://my.zakupki.prom.ua/remote/dispatcher/state_purchase_view/16027180"/>
    <hyperlink ref="C60" r:id="rId113" display="https://my.zakupki.prom.ua/remote/dispatcher/state_contracting_view/4024507"/>
    <hyperlink ref="B61" r:id="rId114" display="https://my.zakupki.prom.ua/remote/dispatcher/state_purchase_view/15080160"/>
    <hyperlink ref="C61" r:id="rId115" display="https://my.zakupki.prom.ua/remote/dispatcher/state_contracting_view/3748054"/>
    <hyperlink ref="B62" r:id="rId116" display="https://my.zakupki.prom.ua/remote/dispatcher/state_purchase_view/13924676"/>
    <hyperlink ref="C62" r:id="rId117" display="https://my.zakupki.prom.ua/remote/dispatcher/state_contracting_view/3858068"/>
    <hyperlink ref="B63" r:id="rId118" display="https://my.zakupki.prom.ua/remote/dispatcher/state_purchase_view/16295155"/>
    <hyperlink ref="C63" r:id="rId119" display="https://my.zakupki.prom.ua/remote/dispatcher/state_contracting_view/4119696"/>
    <hyperlink ref="B64" r:id="rId120" display="https://my.zakupki.prom.ua/remote/dispatcher/state_purchase_view/19031449"/>
    <hyperlink ref="C64" r:id="rId121" display="https://my.zakupki.prom.ua/remote/dispatcher/state_contracting_view/5903315"/>
    <hyperlink ref="B65" r:id="rId122" display="https://my.zakupki.prom.ua/remote/dispatcher/state_purchase_view/18277302"/>
    <hyperlink ref="C65" r:id="rId123" display="https://my.zakupki.prom.ua/remote/dispatcher/state_contracting_view/5376513"/>
    <hyperlink ref="B66" r:id="rId124" display="https://my.zakupki.prom.ua/remote/dispatcher/state_purchase_view/20090925"/>
    <hyperlink ref="C66" r:id="rId125" display="https://my.zakupki.prom.ua/remote/dispatcher/state_contracting_view/6359100"/>
    <hyperlink ref="B67" r:id="rId126" display="https://my.zakupki.prom.ua/remote/dispatcher/state_purchase_view/20269319"/>
    <hyperlink ref="C67" r:id="rId127" display="https://my.zakupki.prom.ua/remote/dispatcher/state_contracting_view/6280564"/>
    <hyperlink ref="B68" r:id="rId128" display="https://my.zakupki.prom.ua/remote/dispatcher/state_purchase_view/18736495"/>
    <hyperlink ref="C68" r:id="rId129" display="https://my.zakupki.prom.ua/remote/dispatcher/state_contracting_view/5700482"/>
    <hyperlink ref="B69" r:id="rId130" display="https://my.zakupki.prom.ua/remote/dispatcher/state_purchase_view/19419982"/>
    <hyperlink ref="C69" r:id="rId131" display="https://my.zakupki.prom.ua/remote/dispatcher/state_contracting_view/5759828"/>
    <hyperlink ref="B70" r:id="rId132" display="https://my.zakupki.prom.ua/remote/dispatcher/state_purchase_view/19453800"/>
    <hyperlink ref="C70" r:id="rId133" display="https://my.zakupki.prom.ua/remote/dispatcher/state_contracting_view/5812379"/>
    <hyperlink ref="B71" r:id="rId134" display="https://my.zakupki.prom.ua/remote/dispatcher/state_purchase_view/14402994"/>
    <hyperlink ref="C71" r:id="rId135" display="https://my.zakupki.prom.ua/remote/dispatcher/state_contracting_view/3617019"/>
    <hyperlink ref="B72" r:id="rId136" display="https://my.zakupki.prom.ua/remote/dispatcher/state_purchase_view/15688272"/>
    <hyperlink ref="C72" r:id="rId137" display="https://my.zakupki.prom.ua/remote/dispatcher/state_contracting_view/3915646"/>
    <hyperlink ref="B73" r:id="rId138" display="https://my.zakupki.prom.ua/remote/dispatcher/state_purchase_view/15912332"/>
    <hyperlink ref="C73" r:id="rId139" display="https://my.zakupki.prom.ua/remote/dispatcher/state_contracting_view/3984961"/>
    <hyperlink ref="B74" r:id="rId140" display="https://my.zakupki.prom.ua/remote/dispatcher/state_purchase_view/15985494"/>
    <hyperlink ref="C74" r:id="rId141" display="https://my.zakupki.prom.ua/remote/dispatcher/state_contracting_view/4010695"/>
    <hyperlink ref="B75" r:id="rId142" display="https://my.zakupki.prom.ua/remote/dispatcher/state_purchase_view/14718777"/>
    <hyperlink ref="C75" r:id="rId143" display="https://my.zakupki.prom.ua/remote/dispatcher/state_contracting_view/3669141"/>
    <hyperlink ref="B76" r:id="rId144" display="https://my.zakupki.prom.ua/remote/dispatcher/state_purchase_view/14536146"/>
    <hyperlink ref="C76" r:id="rId145" display="https://my.zakupki.prom.ua/remote/dispatcher/state_contracting_view/3637039"/>
    <hyperlink ref="B77" r:id="rId146" display="https://my.zakupki.prom.ua/remote/dispatcher/state_purchase_view/14354017"/>
    <hyperlink ref="C77" r:id="rId147" display="https://my.zakupki.prom.ua/remote/dispatcher/state_contracting_view/3608378"/>
    <hyperlink ref="B78" r:id="rId148" display="https://my.zakupki.prom.ua/remote/dispatcher/state_purchase_view/14673278"/>
    <hyperlink ref="C78" r:id="rId149" display="https://my.zakupki.prom.ua/remote/dispatcher/state_contracting_view/3660877"/>
    <hyperlink ref="B79" r:id="rId150" display="https://my.zakupki.prom.ua/remote/dispatcher/state_purchase_view/15084468"/>
    <hyperlink ref="C79" r:id="rId151" display="https://my.zakupki.prom.ua/remote/dispatcher/state_contracting_view/3749276"/>
    <hyperlink ref="B80" r:id="rId152" display="https://my.zakupki.prom.ua/remote/dispatcher/state_purchase_view/15010195"/>
    <hyperlink ref="C80" r:id="rId153" display="https://my.zakupki.prom.ua/remote/dispatcher/state_contracting_view/3730767"/>
    <hyperlink ref="B81" r:id="rId154" display="https://my.zakupki.prom.ua/remote/dispatcher/state_purchase_view/15538363"/>
    <hyperlink ref="C81" r:id="rId155" display="https://my.zakupki.prom.ua/remote/dispatcher/state_contracting_view/3871098"/>
    <hyperlink ref="B82" r:id="rId156" display="https://my.zakupki.prom.ua/remote/dispatcher/state_purchase_view/15298361"/>
    <hyperlink ref="C82" r:id="rId157" display="https://my.zakupki.prom.ua/remote/dispatcher/state_contracting_view/3803632"/>
    <hyperlink ref="B83" r:id="rId158" display="https://my.zakupki.prom.ua/remote/dispatcher/state_purchase_view/14466787"/>
    <hyperlink ref="C83" r:id="rId159" display="https://my.zakupki.prom.ua/remote/dispatcher/state_contracting_view/3627163"/>
    <hyperlink ref="B84" r:id="rId160" display="https://my.zakupki.prom.ua/remote/dispatcher/state_purchase_view/15614862"/>
    <hyperlink ref="C84" r:id="rId161" display="https://my.zakupki.prom.ua/remote/dispatcher/state_contracting_view/3894852"/>
    <hyperlink ref="B85" r:id="rId162" display="https://my.zakupki.prom.ua/remote/dispatcher/state_purchase_view/19496593"/>
    <hyperlink ref="C85" r:id="rId163" display="https://my.zakupki.prom.ua/remote/dispatcher/state_contracting_view/5590947"/>
    <hyperlink ref="B86" r:id="rId164" display="https://my.zakupki.prom.ua/remote/dispatcher/state_purchase_view/20543696"/>
    <hyperlink ref="C86" r:id="rId165" display="https://my.zakupki.prom.ua/remote/dispatcher/state_contracting_view/6091465"/>
    <hyperlink ref="B87" r:id="rId166" display="https://my.zakupki.prom.ua/remote/dispatcher/state_purchase_view/20547275"/>
    <hyperlink ref="C87" r:id="rId167" display="https://my.zakupki.prom.ua/remote/dispatcher/state_contracting_view/6093673"/>
    <hyperlink ref="B88" r:id="rId168" display="https://my.zakupki.prom.ua/remote/dispatcher/state_purchase_view/16297193"/>
    <hyperlink ref="C88" r:id="rId169" display="https://my.zakupki.prom.ua/remote/dispatcher/state_contracting_view/4121338"/>
    <hyperlink ref="B89" r:id="rId170" display="https://my.zakupki.prom.ua/remote/dispatcher/state_purchase_view/17662994"/>
    <hyperlink ref="C89" r:id="rId171" display="https://my.zakupki.prom.ua/remote/dispatcher/state_contracting_view/4729128"/>
    <hyperlink ref="B90" r:id="rId172" display="https://my.zakupki.prom.ua/remote/dispatcher/state_purchase_view/17625252"/>
    <hyperlink ref="C90" r:id="rId173" display="https://my.zakupki.prom.ua/remote/dispatcher/state_contracting_view/4711510"/>
    <hyperlink ref="B91" r:id="rId174" display="https://my.zakupki.prom.ua/remote/dispatcher/state_purchase_view/17202314"/>
    <hyperlink ref="C91" r:id="rId175" display="https://my.zakupki.prom.ua/remote/dispatcher/state_contracting_view/4515515"/>
    <hyperlink ref="B92" r:id="rId176" display="https://my.zakupki.prom.ua/remote/dispatcher/state_purchase_view/17402085"/>
    <hyperlink ref="C92" r:id="rId177" display="https://my.zakupki.prom.ua/remote/dispatcher/state_contracting_view/4608031"/>
    <hyperlink ref="B93" r:id="rId178" display="https://my.zakupki.prom.ua/remote/dispatcher/state_purchase_view/18055072"/>
    <hyperlink ref="C93" r:id="rId179" display="https://my.zakupki.prom.ua/remote/dispatcher/state_contracting_view/5292926"/>
    <hyperlink ref="B94" r:id="rId180" display="https://my.zakupki.prom.ua/remote/dispatcher/state_purchase_view/18146067"/>
    <hyperlink ref="C94" r:id="rId181" display="https://my.zakupki.prom.ua/remote/dispatcher/state_contracting_view/5327684"/>
    <hyperlink ref="B95" r:id="rId182" display="https://my.zakupki.prom.ua/remote/dispatcher/state_purchase_view/17450374"/>
    <hyperlink ref="C95" r:id="rId183" display="https://my.zakupki.prom.ua/remote/dispatcher/state_contracting_view/5067922"/>
    <hyperlink ref="B96" r:id="rId184" display="https://my.zakupki.prom.ua/remote/dispatcher/state_purchase_view/16772838"/>
    <hyperlink ref="C96" r:id="rId185" display="https://my.zakupki.prom.ua/remote/dispatcher/state_contracting_view/4687277"/>
    <hyperlink ref="B97" r:id="rId186" display="https://my.zakupki.prom.ua/remote/dispatcher/state_purchase_view/21191306"/>
    <hyperlink ref="C97" r:id="rId187" display="https://my.zakupki.prom.ua/remote/dispatcher/state_contracting_view/6774697"/>
    <hyperlink ref="B98" r:id="rId188" display="https://my.zakupki.prom.ua/remote/dispatcher/state_purchase_view/20070139"/>
    <hyperlink ref="C98" r:id="rId189" display="https://my.zakupki.prom.ua/remote/dispatcher/state_contracting_view/6376657"/>
    <hyperlink ref="B99" r:id="rId190" display="https://my.zakupki.prom.ua/remote/dispatcher/state_purchase_view/14414169"/>
    <hyperlink ref="C99" r:id="rId191" display="https://my.zakupki.prom.ua/remote/dispatcher/state_contracting_view/3654521"/>
    <hyperlink ref="B100" r:id="rId192" display="https://my.zakupki.prom.ua/remote/dispatcher/state_purchase_view/19065234"/>
    <hyperlink ref="C100" r:id="rId193" display="https://my.zakupki.prom.ua/remote/dispatcher/state_contracting_view/5907638"/>
    <hyperlink ref="B101" r:id="rId194" display="https://my.zakupki.prom.ua/remote/dispatcher/state_purchase_view/18793063"/>
    <hyperlink ref="C101" r:id="rId195" display="https://my.zakupki.prom.ua/remote/dispatcher/state_contracting_view/5258615"/>
    <hyperlink ref="B102" r:id="rId196" display="https://my.zakupki.prom.ua/remote/dispatcher/state_purchase_view/17089015"/>
    <hyperlink ref="C102" r:id="rId197" display="https://my.zakupki.prom.ua/remote/dispatcher/state_contracting_view/4858268"/>
    <hyperlink ref="B103" r:id="rId198" display="https://my.zakupki.prom.ua/remote/dispatcher/state_purchase_view/14402867"/>
    <hyperlink ref="C103" r:id="rId199" display="https://my.zakupki.prom.ua/remote/dispatcher/state_contracting_view/3616999"/>
    <hyperlink ref="B104" r:id="rId200" display="https://my.zakupki.prom.ua/remote/dispatcher/state_purchase_view/16901591"/>
    <hyperlink ref="C104" r:id="rId201" display="https://my.zakupki.prom.ua/remote/dispatcher/state_contracting_view/4379450"/>
    <hyperlink ref="B105" r:id="rId202" display="https://my.zakupki.prom.ua/remote/dispatcher/state_purchase_view/17734752"/>
    <hyperlink ref="C105" r:id="rId203" display="https://my.zakupki.prom.ua/remote/dispatcher/state_contracting_view/4762389"/>
    <hyperlink ref="B106" r:id="rId204" display="https://my.zakupki.prom.ua/remote/dispatcher/state_purchase_view/14422764"/>
    <hyperlink ref="C106" r:id="rId205" display="https://my.zakupki.prom.ua/remote/dispatcher/state_contracting_view/3620574"/>
    <hyperlink ref="B107" r:id="rId206" display="https://my.zakupki.prom.ua/remote/dispatcher/state_purchase_view/14893465"/>
    <hyperlink ref="C107" r:id="rId207" display="https://my.zakupki.prom.ua/remote/dispatcher/state_contracting_view/3705459"/>
    <hyperlink ref="B108" r:id="rId208" display="https://my.zakupki.prom.ua/remote/dispatcher/state_purchase_view/15418219"/>
    <hyperlink ref="C108" r:id="rId209" display="https://my.zakupki.prom.ua/remote/dispatcher/state_contracting_view/3836003"/>
    <hyperlink ref="B109" r:id="rId210" display="https://my.zakupki.prom.ua/remote/dispatcher/state_purchase_view/15788407"/>
    <hyperlink ref="C109" r:id="rId211" display="https://my.zakupki.prom.ua/remote/dispatcher/state_contracting_view/3945654"/>
    <hyperlink ref="B110" r:id="rId212" display="https://my.zakupki.prom.ua/remote/dispatcher/state_purchase_view/20729813"/>
    <hyperlink ref="C110" r:id="rId213" display="https://my.zakupki.prom.ua/remote/dispatcher/state_contracting_view/6179386"/>
    <hyperlink ref="B111" r:id="rId214" display="https://my.zakupki.prom.ua/remote/dispatcher/state_purchase_view/18451587"/>
    <hyperlink ref="C111" r:id="rId215" display="https://my.zakupki.prom.ua/remote/dispatcher/state_contracting_view/5096262"/>
    <hyperlink ref="B112" r:id="rId216" display="https://my.zakupki.prom.ua/remote/dispatcher/state_purchase_view/19117285"/>
    <hyperlink ref="C112" r:id="rId217" display="https://my.zakupki.prom.ua/remote/dispatcher/state_contracting_view/5411408"/>
    <hyperlink ref="B113" r:id="rId218" display="https://my.zakupki.prom.ua/remote/dispatcher/state_purchase_view/17348488"/>
    <hyperlink ref="C113" r:id="rId219" display="https://my.zakupki.prom.ua/remote/dispatcher/state_contracting_view/4812781"/>
    <hyperlink ref="B114" r:id="rId220" display="https://my.zakupki.prom.ua/remote/dispatcher/state_purchase_view/19698845"/>
    <hyperlink ref="C114" r:id="rId221" display="https://my.zakupki.prom.ua/remote/dispatcher/state_contracting_view/6170023"/>
    <hyperlink ref="B115" r:id="rId222" display="https://my.zakupki.prom.ua/remote/dispatcher/state_purchase_view/21343987"/>
    <hyperlink ref="C115" r:id="rId223" display="https://my.zakupki.prom.ua/remote/dispatcher/state_contracting_view/6913393"/>
    <hyperlink ref="B116" r:id="rId224" display="https://my.zakupki.prom.ua/remote/dispatcher/state_purchase_view/20080843"/>
    <hyperlink ref="C116" r:id="rId225" display="https://my.zakupki.prom.ua/remote/dispatcher/state_contracting_view/6360901"/>
    <hyperlink ref="B117" r:id="rId226" display="https://my.zakupki.prom.ua/remote/dispatcher/state_purchase_view/16864089"/>
    <hyperlink ref="C117" r:id="rId227" display="https://my.zakupki.prom.ua/remote/dispatcher/state_contracting_view/4362793"/>
    <hyperlink ref="B118" r:id="rId228" display="https://my.zakupki.prom.ua/remote/dispatcher/state_purchase_view/19546948"/>
    <hyperlink ref="C118" r:id="rId229" display="https://my.zakupki.prom.ua/remote/dispatcher/state_contracting_view/6057246"/>
    <hyperlink ref="B119" r:id="rId230" display="https://my.zakupki.prom.ua/remote/dispatcher/state_purchase_view/17405691"/>
    <hyperlink ref="C119" r:id="rId231" display="https://my.zakupki.prom.ua/remote/dispatcher/state_contracting_view/4609172"/>
    <hyperlink ref="B120" r:id="rId232" display="https://my.zakupki.prom.ua/remote/dispatcher/state_purchase_view/16013032"/>
    <hyperlink ref="C120" r:id="rId233" display="https://my.zakupki.prom.ua/remote/dispatcher/state_contracting_view/4019582"/>
    <hyperlink ref="B121" r:id="rId234" display="https://my.zakupki.prom.ua/remote/dispatcher/state_purchase_view/15962202"/>
    <hyperlink ref="C121" r:id="rId235" display="https://my.zakupki.prom.ua/remote/dispatcher/state_contracting_view/4002256"/>
    <hyperlink ref="B122" r:id="rId236" display="https://my.zakupki.prom.ua/remote/dispatcher/state_purchase_view/15963218"/>
    <hyperlink ref="C122" r:id="rId237" display="https://my.zakupki.prom.ua/remote/dispatcher/state_contracting_view/4002748"/>
    <hyperlink ref="B123" r:id="rId238" display="https://my.zakupki.prom.ua/remote/dispatcher/state_purchase_view/15984650"/>
    <hyperlink ref="C123" r:id="rId239" display="https://my.zakupki.prom.ua/remote/dispatcher/state_contracting_view/4009858"/>
    <hyperlink ref="B124" r:id="rId240" display="https://my.zakupki.prom.ua/remote/dispatcher/state_purchase_view/16305213"/>
    <hyperlink ref="C124" r:id="rId241" display="https://my.zakupki.prom.ua/remote/dispatcher/state_contracting_view/4125317"/>
    <hyperlink ref="B125" r:id="rId242" display="https://my.zakupki.prom.ua/remote/dispatcher/state_purchase_view/16218955"/>
    <hyperlink ref="C125" r:id="rId243" display="https://my.zakupki.prom.ua/remote/dispatcher/state_contracting_view/4091548"/>
    <hyperlink ref="B126" r:id="rId244" display="https://my.zakupki.prom.ua/remote/dispatcher/state_purchase_view/16274587"/>
    <hyperlink ref="C126" r:id="rId245" display="https://my.zakupki.prom.ua/remote/dispatcher/state_contracting_view/4110880"/>
    <hyperlink ref="B127" r:id="rId246" display="https://my.zakupki.prom.ua/remote/dispatcher/state_purchase_view/15208739"/>
    <hyperlink ref="C127" r:id="rId247" display="https://my.zakupki.prom.ua/remote/dispatcher/state_contracting_view/3779459"/>
    <hyperlink ref="B128" r:id="rId248" display="https://my.zakupki.prom.ua/remote/dispatcher/state_purchase_view/15413503"/>
    <hyperlink ref="C128" r:id="rId249" display="https://my.zakupki.prom.ua/remote/dispatcher/state_contracting_view/3834722"/>
    <hyperlink ref="B129" r:id="rId250" display="https://my.zakupki.prom.ua/remote/dispatcher/state_purchase_view/19413567"/>
    <hyperlink ref="C129" r:id="rId251" display="https://my.zakupki.prom.ua/remote/dispatcher/state_contracting_view/5552123"/>
    <hyperlink ref="B130" r:id="rId252" display="https://my.zakupki.prom.ua/remote/dispatcher/state_purchase_view/16862466"/>
    <hyperlink ref="C130" r:id="rId253" display="https://my.zakupki.prom.ua/remote/dispatcher/state_contracting_view/4361052"/>
    <hyperlink ref="B131" r:id="rId254" display="https://my.zakupki.prom.ua/remote/dispatcher/state_purchase_view/19045515"/>
    <hyperlink ref="C131" r:id="rId255" display="https://my.zakupki.prom.ua/remote/dispatcher/state_contracting_view/5373948"/>
    <hyperlink ref="B132" r:id="rId256" display="https://my.zakupki.prom.ua/remote/dispatcher/state_purchase_view/17708469"/>
    <hyperlink ref="C132" r:id="rId257" display="https://my.zakupki.prom.ua/remote/dispatcher/state_contracting_view/4749556"/>
    <hyperlink ref="B133" r:id="rId258" display="https://my.zakupki.prom.ua/remote/dispatcher/state_purchase_view/17873825"/>
    <hyperlink ref="C133" r:id="rId259" display="https://my.zakupki.prom.ua/remote/dispatcher/state_contracting_view/4827074"/>
    <hyperlink ref="B134" r:id="rId260" display="https://my.zakupki.prom.ua/remote/dispatcher/state_purchase_view/14354082"/>
    <hyperlink ref="C134" r:id="rId261" display="https://my.zakupki.prom.ua/remote/dispatcher/state_contracting_view/3608392"/>
    <hyperlink ref="B135" r:id="rId262" display="https://my.zakupki.prom.ua/remote/dispatcher/state_purchase_view/14354105"/>
    <hyperlink ref="C135" r:id="rId263" display="https://my.zakupki.prom.ua/remote/dispatcher/state_contracting_view/3608410"/>
    <hyperlink ref="B136" r:id="rId264" display="https://my.zakupki.prom.ua/remote/dispatcher/state_purchase_view/21022934"/>
    <hyperlink ref="C136" r:id="rId265" display="https://my.zakupki.prom.ua/remote/dispatcher/state_contracting_view/6697020"/>
    <hyperlink ref="B137" r:id="rId266" display="https://my.zakupki.prom.ua/remote/dispatcher/state_purchase_view/24895777"/>
    <hyperlink ref="C137" r:id="rId267" display="https://my.zakupki.prom.ua/remote/dispatcher/state_contracting_view/8087962"/>
    <hyperlink ref="B138" r:id="rId268" display="https://my.zakupki.prom.ua/remote/dispatcher/state_purchase_view/23403720"/>
    <hyperlink ref="C138" r:id="rId269" display="https://my.zakupki.prom.ua/remote/dispatcher/state_contracting_view/7397353"/>
    <hyperlink ref="B139" r:id="rId270" display="https://my.zakupki.prom.ua/remote/dispatcher/state_purchase_view/14718687"/>
    <hyperlink ref="C139" r:id="rId271" display="https://my.zakupki.prom.ua/remote/dispatcher/state_contracting_view/3669098"/>
    <hyperlink ref="B140" r:id="rId272" display="https://my.zakupki.prom.ua/remote/dispatcher/state_purchase_view/14415854"/>
    <hyperlink ref="C140" r:id="rId273" display="https://my.zakupki.prom.ua/remote/dispatcher/state_contracting_view/3619573"/>
    <hyperlink ref="B141" r:id="rId274" display="https://my.zakupki.prom.ua/remote/dispatcher/state_purchase_view/16203852"/>
    <hyperlink ref="C141" r:id="rId275" display="https://my.zakupki.prom.ua/remote/dispatcher/state_contracting_view/4086485"/>
    <hyperlink ref="B142" r:id="rId276" display="https://my.zakupki.prom.ua/remote/dispatcher/state_purchase_view/16955551"/>
    <hyperlink ref="C142" r:id="rId277" display="https://my.zakupki.prom.ua/remote/dispatcher/state_contracting_view/4402572"/>
    <hyperlink ref="B143" r:id="rId278" display="https://my.zakupki.prom.ua/remote/dispatcher/state_purchase_view/14873850"/>
    <hyperlink ref="C143" r:id="rId279" display="https://my.zakupki.prom.ua/remote/dispatcher/state_contracting_view/3697948"/>
    <hyperlink ref="B144" r:id="rId280" display="https://my.zakupki.prom.ua/remote/dispatcher/state_purchase_view/21670803"/>
    <hyperlink ref="C144" r:id="rId281" display="https://my.zakupki.prom.ua/remote/dispatcher/state_contracting_view/6620615"/>
    <hyperlink ref="B145" r:id="rId282" display="https://my.zakupki.prom.ua/remote/dispatcher/state_purchase_view/20630721"/>
    <hyperlink ref="C145" r:id="rId283" display="https://my.zakupki.prom.ua/remote/dispatcher/state_contracting_view/6132990"/>
    <hyperlink ref="B146" r:id="rId284" display="https://my.zakupki.prom.ua/remote/dispatcher/state_purchase_view/21955855"/>
    <hyperlink ref="C146" r:id="rId285" display="https://my.zakupki.prom.ua/remote/dispatcher/state_contracting_view/6753425"/>
    <hyperlink ref="B147" r:id="rId286" display="https://my.zakupki.prom.ua/remote/dispatcher/state_purchase_view/14862655"/>
    <hyperlink ref="C147" r:id="rId287" display="https://my.zakupki.prom.ua/remote/dispatcher/state_contracting_view/3695301"/>
    <hyperlink ref="B148" r:id="rId288" display="https://my.zakupki.prom.ua/remote/dispatcher/state_purchase_view/18751646"/>
    <hyperlink ref="C148" r:id="rId289" display="https://my.zakupki.prom.ua/remote/dispatcher/state_contracting_view/5238296"/>
    <hyperlink ref="B149" r:id="rId290" display="https://my.zakupki.prom.ua/remote/dispatcher/state_purchase_view/20849480"/>
    <hyperlink ref="C149" r:id="rId291" display="https://my.zakupki.prom.ua/remote/dispatcher/state_contracting_view/6236693"/>
    <hyperlink ref="B150" r:id="rId292" display="https://my.zakupki.prom.ua/remote/dispatcher/state_purchase_view/17372425"/>
    <hyperlink ref="C150" r:id="rId293" display="https://my.zakupki.prom.ua/remote/dispatcher/state_contracting_view/4601733"/>
    <hyperlink ref="B151" r:id="rId294" display="https://my.zakupki.prom.ua/remote/dispatcher/state_purchase_view/18463125"/>
    <hyperlink ref="C151" r:id="rId295" display="https://my.zakupki.prom.ua/remote/dispatcher/state_contracting_view/5101045"/>
    <hyperlink ref="B152" r:id="rId296" display="https://my.zakupki.prom.ua/remote/dispatcher/state_purchase_view/18189360"/>
    <hyperlink ref="C152" r:id="rId297" display="https://my.zakupki.prom.ua/remote/dispatcher/state_contracting_view/5374578"/>
    <hyperlink ref="B153" r:id="rId298" display="https://my.zakupki.prom.ua/remote/dispatcher/state_purchase_view/17010946"/>
    <hyperlink ref="C153" r:id="rId299" display="https://my.zakupki.prom.ua/remote/dispatcher/state_contracting_view/4748092"/>
    <hyperlink ref="B154" r:id="rId300" display="https://my.zakupki.prom.ua/remote/dispatcher/state_purchase_view/18245252"/>
    <hyperlink ref="C154" r:id="rId301" display="https://my.zakupki.prom.ua/remote/dispatcher/state_contracting_view/5292993"/>
    <hyperlink ref="B155" r:id="rId302" display="https://my.zakupki.prom.ua/remote/dispatcher/state_purchase_view/18564158"/>
    <hyperlink ref="C155" r:id="rId303" display="https://my.zakupki.prom.ua/remote/dispatcher/state_contracting_view/5473396"/>
    <hyperlink ref="B156" r:id="rId304" display="https://my.zakupki.prom.ua/remote/dispatcher/state_purchase_view/14874527"/>
    <hyperlink ref="C156" r:id="rId305" display="https://my.zakupki.prom.ua/remote/dispatcher/state_contracting_view/3698124"/>
    <hyperlink ref="B157" r:id="rId306" display="https://my.zakupki.prom.ua/remote/dispatcher/state_purchase_view/14673374"/>
    <hyperlink ref="C157" r:id="rId307" display="https://my.zakupki.prom.ua/remote/dispatcher/state_contracting_view/3660926"/>
    <hyperlink ref="B158" r:id="rId308" display="https://my.zakupki.prom.ua/remote/dispatcher/state_purchase_view/14673441"/>
    <hyperlink ref="C158" r:id="rId309" display="https://my.zakupki.prom.ua/remote/dispatcher/state_contracting_view/3660943"/>
    <hyperlink ref="B159" r:id="rId310" display="https://my.zakupki.prom.ua/remote/dispatcher/state_purchase_view/14491238"/>
    <hyperlink ref="C159" r:id="rId311" display="https://my.zakupki.prom.ua/remote/dispatcher/state_contracting_view/3630789"/>
    <hyperlink ref="B160" r:id="rId312" display="https://my.zakupki.prom.ua/remote/dispatcher/state_purchase_view/14423099"/>
    <hyperlink ref="C160" r:id="rId313" display="https://my.zakupki.prom.ua/remote/dispatcher/state_contracting_view/3620700"/>
    <hyperlink ref="B161" r:id="rId314" display="https://my.zakupki.prom.ua/remote/dispatcher/state_purchase_view/14416430"/>
    <hyperlink ref="C161" r:id="rId315" display="https://my.zakupki.prom.ua/remote/dispatcher/state_contracting_view/3619669"/>
    <hyperlink ref="B162" r:id="rId316" display="https://my.zakupki.prom.ua/remote/dispatcher/state_purchase_view/21159197"/>
    <hyperlink ref="C162" r:id="rId317" display="https://my.zakupki.prom.ua/remote/dispatcher/state_contracting_view/6382208"/>
    <hyperlink ref="B163" r:id="rId318" display="https://my.zakupki.prom.ua/remote/dispatcher/state_purchase_view/17964907"/>
    <hyperlink ref="C163" r:id="rId319" display="https://my.zakupki.prom.ua/remote/dispatcher/state_contracting_view/4871474"/>
    <hyperlink ref="B164" r:id="rId320" display="https://my.zakupki.prom.ua/remote/dispatcher/state_purchase_view/15688233"/>
    <hyperlink ref="C164" r:id="rId321" display="https://my.zakupki.prom.ua/remote/dispatcher/state_contracting_view/3915610"/>
    <hyperlink ref="B165" r:id="rId322" display="https://my.zakupki.prom.ua/remote/dispatcher/state_purchase_view/16027824"/>
    <hyperlink ref="C165" r:id="rId323" display="https://my.zakupki.prom.ua/remote/dispatcher/state_contracting_view/4024933"/>
    <hyperlink ref="B166" r:id="rId324" display="https://my.zakupki.prom.ua/remote/dispatcher/state_purchase_view/16273143"/>
    <hyperlink ref="C166" r:id="rId325" display="https://my.zakupki.prom.ua/remote/dispatcher/state_contracting_view/4110440"/>
    <hyperlink ref="B167" r:id="rId326" display="https://my.zakupki.prom.ua/remote/dispatcher/state_purchase_view/16250891"/>
    <hyperlink ref="C167" r:id="rId327" display="https://my.zakupki.prom.ua/remote/dispatcher/state_contracting_view/4102406"/>
    <hyperlink ref="B168" r:id="rId328" display="https://my.zakupki.prom.ua/remote/dispatcher/state_purchase_view/17024072"/>
    <hyperlink ref="C168" r:id="rId329" display="https://my.zakupki.prom.ua/remote/dispatcher/state_contracting_view/4433797"/>
    <hyperlink ref="B169" r:id="rId330" display="https://my.zakupki.prom.ua/remote/dispatcher/state_purchase_view/17353472"/>
    <hyperlink ref="C169" r:id="rId331" display="https://my.zakupki.prom.ua/remote/dispatcher/state_contracting_view/4585180"/>
    <hyperlink ref="B170" r:id="rId332" display="https://my.zakupki.prom.ua/remote/dispatcher/state_purchase_view/17364283"/>
    <hyperlink ref="C170" r:id="rId333" display="https://my.zakupki.prom.ua/remote/dispatcher/state_contracting_view/4590347"/>
    <hyperlink ref="B171" r:id="rId334" display="https://my.zakupki.prom.ua/remote/dispatcher/state_purchase_view/15960972"/>
    <hyperlink ref="C171" r:id="rId335" display="https://my.zakupki.prom.ua/remote/dispatcher/state_contracting_view/4002444"/>
    <hyperlink ref="B172" r:id="rId336" display="https://my.zakupki.prom.ua/remote/dispatcher/state_purchase_view/16510157"/>
    <hyperlink ref="C172" r:id="rId337" display="https://my.zakupki.prom.ua/remote/dispatcher/state_contracting_view/4206277"/>
    <hyperlink ref="B173" r:id="rId338" display="https://my.zakupki.prom.ua/remote/dispatcher/state_purchase_view/20181613"/>
    <hyperlink ref="C173" r:id="rId339" display="https://my.zakupki.prom.ua/remote/dispatcher/state_contracting_view/5913680"/>
    <hyperlink ref="B174" r:id="rId340" display="https://my.zakupki.prom.ua/remote/dispatcher/state_purchase_view/20716596"/>
    <hyperlink ref="C174" r:id="rId341" display="https://my.zakupki.prom.ua/remote/dispatcher/state_contracting_view/6172789"/>
    <hyperlink ref="B175" r:id="rId342" display="https://my.zakupki.prom.ua/remote/dispatcher/state_purchase_view/22033607"/>
    <hyperlink ref="C175" r:id="rId343" display="https://my.zakupki.prom.ua/remote/dispatcher/state_contracting_view/6791024"/>
    <hyperlink ref="B176" r:id="rId344" display="https://my.zakupki.prom.ua/remote/dispatcher/state_purchase_view/20031782"/>
    <hyperlink ref="C176" r:id="rId345" display="https://my.zakupki.prom.ua/remote/dispatcher/state_contracting_view/6390423"/>
    <hyperlink ref="B177" r:id="rId346" display="https://my.zakupki.prom.ua/remote/dispatcher/state_purchase_view/18828470"/>
    <hyperlink ref="C177" r:id="rId347" display="https://my.zakupki.prom.ua/remote/dispatcher/state_contracting_view/5550502"/>
    <hyperlink ref="B178" r:id="rId348" display="https://my.zakupki.prom.ua/remote/dispatcher/state_purchase_view/18956842"/>
    <hyperlink ref="C178" r:id="rId349" display="https://my.zakupki.prom.ua/remote/dispatcher/state_contracting_view/5550147"/>
    <hyperlink ref="B179" r:id="rId350" display="https://my.zakupki.prom.ua/remote/dispatcher/state_purchase_view/17335416"/>
    <hyperlink ref="C179" r:id="rId351" display="https://my.zakupki.prom.ua/remote/dispatcher/state_contracting_view/4858733"/>
    <hyperlink ref="B180" r:id="rId352" display="https://my.zakupki.prom.ua/remote/dispatcher/state_purchase_view/18372349"/>
    <hyperlink ref="C180" r:id="rId353" display="https://my.zakupki.prom.ua/remote/dispatcher/state_contracting_view/5374163"/>
    <hyperlink ref="B181" r:id="rId354" display="https://my.zakupki.prom.ua/remote/dispatcher/state_purchase_view/17433934"/>
    <hyperlink ref="C181" r:id="rId355" display="https://my.zakupki.prom.ua/remote/dispatcher/state_contracting_view/4989709"/>
    <hyperlink ref="B182" r:id="rId356" display="https://my.zakupki.prom.ua/remote/dispatcher/state_purchase_view/21364640"/>
    <hyperlink ref="C182" r:id="rId357" display="https://my.zakupki.prom.ua/remote/dispatcher/state_contracting_view/6777727"/>
    <hyperlink ref="B183" r:id="rId358" display="https://my.zakupki.prom.ua/remote/dispatcher/state_purchase_view/14416024"/>
    <hyperlink ref="C183" r:id="rId359" display="https://my.zakupki.prom.ua/remote/dispatcher/state_contracting_view/3619592"/>
    <hyperlink ref="B184" r:id="rId360" display="https://my.zakupki.prom.ua/remote/dispatcher/state_purchase_view/14673039"/>
    <hyperlink ref="C184" r:id="rId361" display="https://my.zakupki.prom.ua/remote/dispatcher/state_contracting_view/3660808"/>
    <hyperlink ref="B185" r:id="rId362" display="https://my.zakupki.prom.ua/remote/dispatcher/state_purchase_view/14892117"/>
    <hyperlink ref="C185" r:id="rId363" display="https://my.zakupki.prom.ua/remote/dispatcher/state_contracting_view/3704883"/>
    <hyperlink ref="B186" r:id="rId364" display="https://my.zakupki.prom.ua/remote/dispatcher/state_purchase_view/20180598"/>
    <hyperlink ref="C186" r:id="rId365" display="https://my.zakupki.prom.ua/remote/dispatcher/state_contracting_view/5913002"/>
    <hyperlink ref="B187" r:id="rId366" display="https://my.zakupki.prom.ua/remote/dispatcher/state_purchase_view/16205575"/>
    <hyperlink ref="C187" r:id="rId367" display="https://my.zakupki.prom.ua/remote/dispatcher/state_contracting_view/4087092"/>
    <hyperlink ref="B188" r:id="rId368" display="https://my.zakupki.prom.ua/remote/dispatcher/state_purchase_view/16511006"/>
    <hyperlink ref="C188" r:id="rId369" display="https://my.zakupki.prom.ua/remote/dispatcher/state_contracting_view/4206669"/>
    <hyperlink ref="B189" r:id="rId370" display="https://my.zakupki.prom.ua/remote/dispatcher/state_purchase_view/15116511"/>
    <hyperlink ref="C189" r:id="rId371" display="https://my.zakupki.prom.ua/remote/dispatcher/state_contracting_view/3756922"/>
    <hyperlink ref="B190" r:id="rId372" display="https://my.zakupki.prom.ua/remote/dispatcher/state_purchase_view/15913343"/>
    <hyperlink ref="C190" r:id="rId373" display="https://my.zakupki.prom.ua/remote/dispatcher/state_contracting_view/3985411"/>
    <hyperlink ref="B191" r:id="rId374" display="https://my.zakupki.prom.ua/remote/dispatcher/state_purchase_view/16153910"/>
    <hyperlink ref="C191" r:id="rId375" display="https://my.zakupki.prom.ua/remote/dispatcher/state_contracting_view/4069470"/>
    <hyperlink ref="B192" r:id="rId376" display="https://my.zakupki.prom.ua/remote/dispatcher/state_purchase_view/17354778"/>
    <hyperlink ref="C192" r:id="rId377" display="https://my.zakupki.prom.ua/remote/dispatcher/state_contracting_view/4585888"/>
    <hyperlink ref="B193" r:id="rId378" display="https://my.zakupki.prom.ua/remote/dispatcher/state_purchase_view/19610837"/>
    <hyperlink ref="C193" r:id="rId379" display="https://my.zakupki.prom.ua/remote/dispatcher/state_contracting_view/5647449"/>
    <hyperlink ref="B194" r:id="rId380" display="https://my.zakupki.prom.ua/remote/dispatcher/state_purchase_view/19221642"/>
    <hyperlink ref="C194" r:id="rId381" display="https://my.zakupki.prom.ua/remote/dispatcher/state_contracting_view/5471217"/>
    <hyperlink ref="B195" r:id="rId382" display="https://my.zakupki.prom.ua/remote/dispatcher/state_purchase_view/20998119"/>
    <hyperlink ref="C195" r:id="rId383" display="https://my.zakupki.prom.ua/remote/dispatcher/state_contracting_view/6324972"/>
    <hyperlink ref="B196" r:id="rId384" display="https://my.zakupki.prom.ua/remote/dispatcher/state_purchase_view/17400135"/>
    <hyperlink ref="C196" r:id="rId385" display="https://my.zakupki.prom.ua/remote/dispatcher/state_contracting_view/4606562"/>
    <hyperlink ref="B197" r:id="rId386" display="https://my.zakupki.prom.ua/remote/dispatcher/state_purchase_view/17625061"/>
    <hyperlink ref="C197" r:id="rId387" display="https://my.zakupki.prom.ua/remote/dispatcher/state_contracting_view/4711424"/>
    <hyperlink ref="B198" r:id="rId388" display="https://my.zakupki.prom.ua/remote/dispatcher/state_purchase_view/17784974"/>
    <hyperlink ref="C198" r:id="rId389" display="https://my.zakupki.prom.ua/remote/dispatcher/state_contracting_view/4785348"/>
    <hyperlink ref="B199" r:id="rId390" display="https://my.zakupki.prom.ua/remote/dispatcher/state_purchase_view/17792308"/>
    <hyperlink ref="C199" r:id="rId391" display="https://my.zakupki.prom.ua/remote/dispatcher/state_contracting_view/4788959"/>
    <hyperlink ref="B200" r:id="rId392" display="https://my.zakupki.prom.ua/remote/dispatcher/state_purchase_view/18392510"/>
    <hyperlink ref="C200" r:id="rId393" display="https://my.zakupki.prom.ua/remote/dispatcher/state_contracting_view/5069567"/>
    <hyperlink ref="B201" r:id="rId394" display="https://my.zakupki.prom.ua/remote/dispatcher/state_purchase_view/20066306"/>
    <hyperlink ref="C201" r:id="rId395" display="https://my.zakupki.prom.ua/remote/dispatcher/state_contracting_view/6361161"/>
    <hyperlink ref="B202" r:id="rId396" display="https://my.zakupki.prom.ua/remote/dispatcher/state_purchase_view/19449398"/>
    <hyperlink ref="C202" r:id="rId397" display="https://my.zakupki.prom.ua/remote/dispatcher/state_contracting_view/6080048"/>
    <hyperlink ref="B203" r:id="rId398" display="https://my.zakupki.prom.ua/remote/dispatcher/state_purchase_view/18956632"/>
    <hyperlink ref="C203" r:id="rId399" display="https://my.zakupki.prom.ua/remote/dispatcher/state_contracting_view/5549757"/>
    <hyperlink ref="B204" r:id="rId400" display="https://my.zakupki.prom.ua/remote/dispatcher/state_purchase_view/18172316"/>
    <hyperlink ref="C204" r:id="rId401" display="https://my.zakupki.prom.ua/remote/dispatcher/state_contracting_view/5099366"/>
    <hyperlink ref="B205" r:id="rId402" display="https://my.zakupki.prom.ua/remote/dispatcher/state_purchase_view/17625212"/>
    <hyperlink ref="C205" r:id="rId403" display="https://my.zakupki.prom.ua/remote/dispatcher/state_contracting_view/4711484"/>
    <hyperlink ref="B206" r:id="rId404" display="https://my.zakupki.prom.ua/remote/dispatcher/state_purchase_view/18830902"/>
    <hyperlink ref="C206" r:id="rId405" display="https://my.zakupki.prom.ua/remote/dispatcher/state_contracting_view/5550314"/>
    <hyperlink ref="B207" r:id="rId406" display="https://my.zakupki.prom.ua/remote/dispatcher/state_purchase_view/14354054"/>
    <hyperlink ref="C207" r:id="rId407" display="https://my.zakupki.prom.ua/remote/dispatcher/state_contracting_view/3608386"/>
    <hyperlink ref="B208" r:id="rId408" display="https://my.zakupki.prom.ua/remote/dispatcher/state_purchase_view/17707886"/>
    <hyperlink ref="C208" r:id="rId409" display="https://my.zakupki.prom.ua/remote/dispatcher/state_contracting_view/4749662"/>
    <hyperlink ref="B209" r:id="rId410" display="https://my.zakupki.prom.ua/remote/dispatcher/state_purchase_view/17873230"/>
    <hyperlink ref="C209" r:id="rId411" display="https://my.zakupki.prom.ua/remote/dispatcher/state_contracting_view/4826760"/>
    <hyperlink ref="B210" r:id="rId412" display="https://my.zakupki.prom.ua/remote/dispatcher/state_purchase_view/15385765"/>
    <hyperlink ref="C210" r:id="rId413" display="https://my.zakupki.prom.ua/remote/dispatcher/state_contracting_view/3827422"/>
    <hyperlink ref="B211" r:id="rId414" display="https://my.zakupki.prom.ua/remote/dispatcher/state_purchase_view/15614811"/>
    <hyperlink ref="C211" r:id="rId415" display="https://my.zakupki.prom.ua/remote/dispatcher/state_contracting_view/3894793"/>
    <hyperlink ref="B212" r:id="rId416" display="https://my.zakupki.prom.ua/remote/dispatcher/state_purchase_view/18913473"/>
    <hyperlink ref="C212" r:id="rId417" display="https://my.zakupki.prom.ua/remote/dispatcher/state_contracting_view/5315344"/>
    <hyperlink ref="B213" r:id="rId418" display="https://my.zakupki.prom.ua/remote/dispatcher/state_purchase_view/19715371"/>
    <hyperlink ref="C213" r:id="rId419" display="https://my.zakupki.prom.ua/remote/dispatcher/state_contracting_view/5695328"/>
    <hyperlink ref="B214" r:id="rId420" display="https://my.zakupki.prom.ua/remote/dispatcher/state_purchase_view/16213107"/>
    <hyperlink ref="C214" r:id="rId421" display="https://my.zakupki.prom.ua/remote/dispatcher/state_contracting_view/4089701"/>
    <hyperlink ref="B215" r:id="rId422" display="https://my.zakupki.prom.ua/remote/dispatcher/state_purchase_view/16186460"/>
    <hyperlink ref="C215" r:id="rId423" display="https://my.zakupki.prom.ua/remote/dispatcher/state_contracting_view/4080513"/>
    <hyperlink ref="B216" r:id="rId424" display="https://my.zakupki.prom.ua/remote/dispatcher/state_purchase_view/16133509"/>
    <hyperlink ref="C216" r:id="rId425" display="https://my.zakupki.prom.ua/remote/dispatcher/state_contracting_view/4061958"/>
    <hyperlink ref="B217" r:id="rId426" display="https://my.zakupki.prom.ua/remote/dispatcher/state_purchase_view/17061030"/>
    <hyperlink ref="C217" r:id="rId427" display="https://my.zakupki.prom.ua/remote/dispatcher/state_contracting_view/4451363"/>
    <hyperlink ref="B218" r:id="rId428" display="https://my.zakupki.prom.ua/remote/dispatcher/state_purchase_view/21193377"/>
    <hyperlink ref="C218" r:id="rId429" display="https://my.zakupki.prom.ua/remote/dispatcher/state_contracting_view/6397423"/>
    <hyperlink ref="B219" r:id="rId430" display="https://my.zakupki.prom.ua/remote/dispatcher/state_purchase_view/14418854"/>
    <hyperlink ref="C219" r:id="rId431" display="https://my.zakupki.prom.ua/remote/dispatcher/state_contracting_view/3731046"/>
    <hyperlink ref="B220" r:id="rId432" display="https://my.zakupki.prom.ua/remote/dispatcher/state_purchase_view/22041303"/>
    <hyperlink ref="C220" r:id="rId433" display="https://my.zakupki.prom.ua/remote/dispatcher/state_contracting_view/6794514"/>
    <hyperlink ref="B221" r:id="rId434" display="https://my.zakupki.prom.ua/remote/dispatcher/state_purchase_view/21134715"/>
    <hyperlink ref="C221" r:id="rId435" display="https://my.zakupki.prom.ua/remote/dispatcher/state_contracting_view/7013285"/>
    <hyperlink ref="B222" r:id="rId436" display="https://my.zakupki.prom.ua/remote/dispatcher/state_purchase_view/22042476"/>
    <hyperlink ref="C222" r:id="rId437" display="https://my.zakupki.prom.ua/remote/dispatcher/state_contracting_view/6795360"/>
    <hyperlink ref="B223" r:id="rId438" display="https://my.zakupki.prom.ua/remote/dispatcher/state_purchase_view/14841886"/>
    <hyperlink ref="C223" r:id="rId439" display="https://my.zakupki.prom.ua/remote/dispatcher/state_contracting_view/3690341"/>
    <hyperlink ref="B224" r:id="rId440" display="https://my.zakupki.prom.ua/remote/dispatcher/state_purchase_view/15589416"/>
    <hyperlink ref="C224" r:id="rId441" display="https://my.zakupki.prom.ua/remote/dispatcher/state_contracting_view/3885870"/>
    <hyperlink ref="B225" r:id="rId442" display="https://my.zakupki.prom.ua/remote/dispatcher/state_purchase_view/14416098"/>
    <hyperlink ref="C225" r:id="rId443" display="https://my.zakupki.prom.ua/remote/dispatcher/state_contracting_view/3619598"/>
    <hyperlink ref="B226" r:id="rId444" display="https://my.zakupki.prom.ua/remote/dispatcher/state_purchase_view/15084806"/>
    <hyperlink ref="C226" r:id="rId445" display="https://my.zakupki.prom.ua/remote/dispatcher/state_contracting_view/3749371"/>
    <hyperlink ref="B227" r:id="rId446" display="https://my.zakupki.prom.ua/remote/dispatcher/state_purchase_view/14894102"/>
    <hyperlink ref="C227" r:id="rId447" display="https://my.zakupki.prom.ua/remote/dispatcher/state_contracting_view/3705735"/>
    <hyperlink ref="B228" r:id="rId448" display="https://my.zakupki.prom.ua/remote/dispatcher/state_purchase_view/16299101"/>
    <hyperlink ref="C228" r:id="rId449" display="https://my.zakupki.prom.ua/remote/dispatcher/state_contracting_view/4121862"/>
    <hyperlink ref="B229" r:id="rId450" display="https://my.zakupki.prom.ua/remote/dispatcher/state_purchase_view/15417023"/>
    <hyperlink ref="C229" r:id="rId451" display="https://my.zakupki.prom.ua/remote/dispatcher/state_contracting_view/3835826"/>
    <hyperlink ref="B230" r:id="rId452" display="https://my.zakupki.prom.ua/remote/dispatcher/state_purchase_view/14491647"/>
    <hyperlink ref="C230" r:id="rId453" display="https://my.zakupki.prom.ua/remote/dispatcher/state_contracting_view/3630846"/>
    <hyperlink ref="B231" r:id="rId454" display="https://my.zakupki.prom.ua/remote/dispatcher/state_purchase_view/20209075"/>
    <hyperlink ref="C231" r:id="rId455" display="https://my.zakupki.prom.ua/remote/dispatcher/state_contracting_view/5926901"/>
    <hyperlink ref="B232" r:id="rId456" display="https://my.zakupki.prom.ua/remote/dispatcher/state_purchase_view/20832003"/>
    <hyperlink ref="C232" r:id="rId457" display="https://my.zakupki.prom.ua/remote/dispatcher/state_contracting_view/6227713"/>
    <hyperlink ref="B233" r:id="rId458" display="https://my.zakupki.prom.ua/remote/dispatcher/state_purchase_view/14369610"/>
    <hyperlink ref="C233" r:id="rId459" display="https://my.zakupki.prom.ua/remote/dispatcher/state_contracting_view/3611816"/>
    <hyperlink ref="B234" r:id="rId460" display="https://my.zakupki.prom.ua/remote/dispatcher/state_purchase_view/17630527"/>
    <hyperlink ref="C234" r:id="rId461" display="https://my.zakupki.prom.ua/remote/dispatcher/state_contracting_view/4714061"/>
    <hyperlink ref="B235" r:id="rId462" display="https://my.zakupki.prom.ua/remote/dispatcher/state_purchase_view/17366400"/>
    <hyperlink ref="C235" r:id="rId463" display="https://my.zakupki.prom.ua/remote/dispatcher/state_contracting_view/4591198"/>
    <hyperlink ref="B236" r:id="rId464" display="https://my.zakupki.prom.ua/remote/dispatcher/state_purchase_view/19625190"/>
    <hyperlink ref="C236" r:id="rId465" display="https://my.zakupki.prom.ua/remote/dispatcher/state_contracting_view/6130239"/>
    <hyperlink ref="B237" r:id="rId466" display="https://my.zakupki.prom.ua/remote/dispatcher/state_purchase_view/19030978"/>
    <hyperlink ref="C237" r:id="rId467" display="https://my.zakupki.prom.ua/remote/dispatcher/state_contracting_view/5699711"/>
    <hyperlink ref="B238" r:id="rId468" display="https://my.zakupki.prom.ua/remote/dispatcher/state_purchase_view/18631609"/>
    <hyperlink ref="C238" r:id="rId469" display="https://my.zakupki.prom.ua/remote/dispatcher/state_contracting_view/5313257"/>
    <hyperlink ref="B239" r:id="rId470" display="https://my.zakupki.prom.ua/remote/dispatcher/state_purchase_view/16713705"/>
    <hyperlink ref="C239" r:id="rId471" display="https://my.zakupki.prom.ua/remote/dispatcher/state_contracting_view/4673079"/>
    <hyperlink ref="B240" r:id="rId472" display="https://my.zakupki.prom.ua/remote/dispatcher/state_purchase_view/16013023"/>
    <hyperlink ref="C240" r:id="rId473" display="https://my.zakupki.prom.ua/remote/dispatcher/state_contracting_view/4019578"/>
    <hyperlink ref="B241" r:id="rId474" display="https://my.zakupki.prom.ua/remote/dispatcher/state_purchase_view/14369546"/>
    <hyperlink ref="C241" r:id="rId475" display="https://my.zakupki.prom.ua/remote/dispatcher/state_contracting_view/3611787"/>
    <hyperlink ref="B242" r:id="rId476" display="https://my.zakupki.prom.ua/remote/dispatcher/state_purchase_view/14369563"/>
    <hyperlink ref="C242" r:id="rId477" display="https://my.zakupki.prom.ua/remote/dispatcher/state_contracting_view/3611795"/>
    <hyperlink ref="B243" r:id="rId478" display="https://my.zakupki.prom.ua/remote/dispatcher/state_purchase_view/14403392"/>
    <hyperlink ref="C243" r:id="rId479" display="https://my.zakupki.prom.ua/remote/dispatcher/state_contracting_view/3617081"/>
    <hyperlink ref="B244" r:id="rId480" display="https://my.zakupki.prom.ua/remote/dispatcher/state_purchase_view/14941235"/>
    <hyperlink ref="C244" r:id="rId481" display="https://my.zakupki.prom.ua/remote/dispatcher/state_contracting_view/3714251"/>
    <hyperlink ref="B245" r:id="rId482" display="https://my.zakupki.prom.ua/remote/dispatcher/state_purchase_view/15039370"/>
    <hyperlink ref="C245" r:id="rId483" display="https://my.zakupki.prom.ua/remote/dispatcher/state_contracting_view/3737997"/>
    <hyperlink ref="B246" r:id="rId484" display="https://my.zakupki.prom.ua/remote/dispatcher/state_purchase_view/14416285"/>
    <hyperlink ref="C246" r:id="rId485" display="https://my.zakupki.prom.ua/remote/dispatcher/state_contracting_view/3619631"/>
    <hyperlink ref="B247" r:id="rId486" display="https://my.zakupki.prom.ua/remote/dispatcher/state_purchase_view/14415828"/>
    <hyperlink ref="C247" r:id="rId487" display="https://my.zakupki.prom.ua/remote/dispatcher/state_contracting_view/3619556"/>
    <hyperlink ref="B248" r:id="rId488" display="https://my.zakupki.prom.ua/remote/dispatcher/state_purchase_view/14492180"/>
    <hyperlink ref="C248" r:id="rId489" display="https://my.zakupki.prom.ua/remote/dispatcher/state_contracting_view/3630928"/>
    <hyperlink ref="B249" r:id="rId490" display="https://my.zakupki.prom.ua/remote/dispatcher/state_purchase_view/14354145"/>
    <hyperlink ref="C249" r:id="rId491" display="https://my.zakupki.prom.ua/remote/dispatcher/state_contracting_view/3608418"/>
    <hyperlink ref="B250" r:id="rId492" display="https://my.zakupki.prom.ua/remote/dispatcher/state_purchase_view/14354184"/>
    <hyperlink ref="C250" r:id="rId493" display="https://my.zakupki.prom.ua/remote/dispatcher/state_contracting_view/3608432"/>
    <hyperlink ref="B251" r:id="rId494" display="https://my.zakupki.prom.ua/remote/dispatcher/state_purchase_view/15792798"/>
    <hyperlink ref="C251" r:id="rId495" display="https://my.zakupki.prom.ua/remote/dispatcher/state_contracting_view/3946998"/>
    <hyperlink ref="B252" r:id="rId496" display="https://my.zakupki.prom.ua/remote/dispatcher/state_purchase_view/18637071"/>
    <hyperlink ref="C252" r:id="rId497" display="https://my.zakupki.prom.ua/remote/dispatcher/state_contracting_view/5183237"/>
    <hyperlink ref="B253" r:id="rId498" display="https://my.zakupki.prom.ua/remote/dispatcher/state_purchase_view/17037196"/>
    <hyperlink ref="C253" r:id="rId499" display="https://my.zakupki.prom.ua/remote/dispatcher/state_contracting_view/4440106"/>
    <hyperlink ref="B254" r:id="rId500" display="https://my.zakupki.prom.ua/remote/dispatcher/state_purchase_view/21284732"/>
    <hyperlink ref="C254" r:id="rId501" display="https://my.zakupki.prom.ua/remote/dispatcher/state_contracting_view/6440547"/>
    <hyperlink ref="B255" r:id="rId502" display="https://my.zakupki.prom.ua/remote/dispatcher/state_purchase_view/21653029"/>
    <hyperlink ref="C255" r:id="rId503" display="https://my.zakupki.prom.ua/remote/dispatcher/state_contracting_view/6612518"/>
    <hyperlink ref="B256" r:id="rId504" display="https://my.zakupki.prom.ua/remote/dispatcher/state_purchase_view/14403275"/>
    <hyperlink ref="C256" r:id="rId505" display="https://my.zakupki.prom.ua/remote/dispatcher/state_contracting_view/3617058"/>
    <hyperlink ref="B257" r:id="rId506" display="https://my.zakupki.prom.ua/remote/dispatcher/state_purchase_view/18055072"/>
    <hyperlink ref="C257" r:id="rId507" display="https://my.zakupki.prom.ua/remote/dispatcher/state_contracting_view/5180542"/>
    <hyperlink ref="B258" r:id="rId508" display="https://my.zakupki.prom.ua/remote/dispatcher/state_purchase_view/16915709"/>
    <hyperlink ref="C258" r:id="rId509" display="https://my.zakupki.prom.ua/remote/dispatcher/state_contracting_view/4718872"/>
    <hyperlink ref="B259" r:id="rId510" display="https://my.zakupki.prom.ua/remote/dispatcher/state_purchase_view/19184877"/>
    <hyperlink ref="C259" r:id="rId511" display="https://my.zakupki.prom.ua/remote/dispatcher/state_contracting_view/5813478"/>
    <hyperlink ref="B260" r:id="rId512" display="https://my.zakupki.prom.ua/remote/dispatcher/state_purchase_view/17584315"/>
    <hyperlink ref="C260" r:id="rId513" display="https://my.zakupki.prom.ua/remote/dispatcher/state_contracting_view/5236290"/>
    <hyperlink ref="B261" r:id="rId514" display="https://my.zakupki.prom.ua/remote/dispatcher/state_purchase_view/19621210"/>
    <hyperlink ref="C261" r:id="rId515" display="https://my.zakupki.prom.ua/remote/dispatcher/state_contracting_view/5760525"/>
    <hyperlink ref="B262" r:id="rId516" display="https://my.zakupki.prom.ua/remote/dispatcher/state_purchase_view/20513101"/>
    <hyperlink ref="C262" r:id="rId517" display="https://my.zakupki.prom.ua/remote/dispatcher/state_contracting_view/6524219"/>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Ирина Панченко</cp:lastModifiedBy>
  <dcterms:created xsi:type="dcterms:W3CDTF">2021-10-06T13:57:30Z</dcterms:created>
  <dcterms:modified xsi:type="dcterms:W3CDTF">2021-10-06T11:01:54Z</dcterms:modified>
  <cp:category/>
</cp:coreProperties>
</file>