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'укр'!$A$5:$O$99</definedName>
    <definedName name="Z_04ACB588_E2F7_4C72_90EE_C1D7F57E0343_.wvu.FilterData" localSheetId="1" hidden="1">'рус'!$A$3:$O$93</definedName>
    <definedName name="Z_04ACB588_E2F7_4C72_90EE_C1D7F57E0343_.wvu.FilterData" localSheetId="0" hidden="1">'укр'!$A$5:$O$99</definedName>
    <definedName name="Z_0AB4131A_8BED_4BFC_A370_C1BC1C9D4C7C_.wvu.FilterData" localSheetId="1" hidden="1">'рус'!$A$3:$O$93</definedName>
    <definedName name="Z_0AB4131A_8BED_4BFC_A370_C1BC1C9D4C7C_.wvu.FilterData" localSheetId="0" hidden="1">'укр'!$A$5:$O$93</definedName>
    <definedName name="Z_1046EEE3_1562_4020_8D2B_824F51BD9219_.wvu.FilterData" localSheetId="1" hidden="1">'рус'!$A$3:$O$93</definedName>
    <definedName name="Z_1054A86F_0A27_49A1_9D7E_76FC64889737_.wvu.FilterData" localSheetId="0" hidden="1">'укр'!$A$5:$O$93</definedName>
    <definedName name="Z_1118C1DB_0416_47C1_A822_3E69CF54CCB3_.wvu.FilterData" localSheetId="0" hidden="1">'укр'!$A$5:$O$93</definedName>
    <definedName name="Z_12234747_4AA0_4E9F_BD8E_2167D43C1EE7_.wvu.FilterData" localSheetId="0" hidden="1">'укр'!$A$5:$O$99</definedName>
    <definedName name="Z_1C966999_B4C5_43B7_926D_365C642CB6F1_.wvu.FilterData" localSheetId="0" hidden="1">'укр'!$A$5:$O$99</definedName>
    <definedName name="Z_231C1CD9_D5BC_43F0_874C_628A321B7F6D_.wvu.FilterData" localSheetId="1" hidden="1">'рус'!$A$3:$O$93</definedName>
    <definedName name="Z_231C1CD9_D5BC_43F0_874C_628A321B7F6D_.wvu.FilterData" localSheetId="0" hidden="1">'укр'!$A$5:$O$99</definedName>
    <definedName name="Z_24240EEA_952B_4B02_AFBB_C5493EA03E7A_.wvu.FilterData" localSheetId="0" hidden="1">'укр'!$A$5:$O$99</definedName>
    <definedName name="Z_27F388CE_0524_43E5_9E25_7EEC8B6CD1B4_.wvu.FilterData" localSheetId="0" hidden="1">'укр'!$A$5:$O$93</definedName>
    <definedName name="Z_3A145DEE_F66F_4ADC_8CE5_38BF43BF697E_.wvu.FilterData" localSheetId="0" hidden="1">'укр'!$A$5:$O$99</definedName>
    <definedName name="Z_3ABA87E8_DFA0_45BE_BA5D_FCDF1374FB92_.wvu.FilterData" localSheetId="0" hidden="1">'укр'!$A$5:$O$99</definedName>
    <definedName name="Z_3DE70603_A759_4A69_B4A6_A5BF364011E4_.wvu.FilterData" localSheetId="0" hidden="1">'укр'!$A$5:$O$93</definedName>
    <definedName name="Z_4260F083_649D_4241_ADC9_F602D674C2A9_.wvu.FilterData" localSheetId="0" hidden="1">'укр'!$A$5:$O$99</definedName>
    <definedName name="Z_4755467F_FA79_4CDF_998B_1B4533AA5FCA_.wvu.FilterData" localSheetId="0" hidden="1">'укр'!$A$5:$O$99</definedName>
    <definedName name="Z_49628C96_C195_416C_8FF0_14DD43C23211_.wvu.FilterData" localSheetId="1" hidden="1">'рус'!$A$3:$O$93</definedName>
    <definedName name="Z_49628C96_C195_416C_8FF0_14DD43C23211_.wvu.FilterData" localSheetId="0" hidden="1">'укр'!$A$5:$O$93</definedName>
    <definedName name="Z_4CD494E0_A5E8_4389_B231_32C134BAAFE3_.wvu.FilterData" localSheetId="1" hidden="1">'рус'!$A$3:$O$93</definedName>
    <definedName name="Z_4CD494E0_A5E8_4389_B231_32C134BAAFE3_.wvu.FilterData" localSheetId="0" hidden="1">'укр'!$A$5:$O$93</definedName>
    <definedName name="Z_4F73FC08_4ACE_4F60_8CCD_8CB6CCF71C74_.wvu.FilterData" localSheetId="0" hidden="1">'укр'!$A$5:$O$93</definedName>
    <definedName name="Z_58053810_807D_4B5B_A58D_D2B31B4E7C2D_.wvu.FilterData" localSheetId="0" hidden="1">'укр'!$A$5:$O$99</definedName>
    <definedName name="Z_589799DC_FBD1_4D3A_8CA9_C31AED24E23A_.wvu.FilterData" localSheetId="0" hidden="1">'укр'!$A$5:$O$99</definedName>
    <definedName name="Z_5BF60E64_9CFF_4192_B734_77E73C07738E_.wvu.FilterData" localSheetId="0" hidden="1">'укр'!$A$5:$O$93</definedName>
    <definedName name="Z_617CC03B_61AA_4EAA_90A8_4FFD22DB74E3_.wvu.FilterData" localSheetId="0" hidden="1">'укр'!$A$5:$O$93</definedName>
    <definedName name="Z_6631C4E3_E3DE_4FDA_8360_88DA555E1CDC_.wvu.FilterData" localSheetId="1" hidden="1">'рус'!$A$3:$O$93</definedName>
    <definedName name="Z_6631C4E3_E3DE_4FDA_8360_88DA555E1CDC_.wvu.FilterData" localSheetId="0" hidden="1">'укр'!$A$5:$O$99</definedName>
    <definedName name="Z_672E82EF_B617_4568_88A0_B0D5C24A9181_.wvu.FilterData" localSheetId="0" hidden="1">'укр'!$A$5:$O$93</definedName>
    <definedName name="Z_6D745CBB_D96C_4096_B121_CE1FF649F302_.wvu.FilterData" localSheetId="0" hidden="1">'укр'!$A$5:$O$99</definedName>
    <definedName name="Z_72A9030B_9E1B_4FF0_81DC_13BA92CF6228_.wvu.FilterData" localSheetId="0" hidden="1">'укр'!$A$5:$O$99</definedName>
    <definedName name="Z_77FC4776_5A4A_492C_991A_5A42D696A663_.wvu.FilterData" localSheetId="0" hidden="1">'укр'!$A$5:$O$99</definedName>
    <definedName name="Z_79E0FD67_78FE_4620_A1A7_B5C455565654_.wvu.FilterData" localSheetId="0" hidden="1">'укр'!$A$5:$O$93</definedName>
    <definedName name="Z_83D0CCFC_E5EE_4571_B75B_A5A7C3C26172_.wvu.FilterData" localSheetId="1" hidden="1">'рус'!$A$3:$O$93</definedName>
    <definedName name="Z_86E6D055_96EC_4918_84F1_B8C85BC36562_.wvu.FilterData" localSheetId="0" hidden="1">'укр'!$A$5:$O$99</definedName>
    <definedName name="Z_8857BE6F_1159_4631_824E_129574F12620_.wvu.FilterData" localSheetId="0" hidden="1">'укр'!$A$5:$O$99</definedName>
    <definedName name="Z_88C6652C_1959_4D9F_BDAD_4D2FA65820E4_.wvu.FilterData" localSheetId="0" hidden="1">'укр'!$A$5:$O$93</definedName>
    <definedName name="Z_8EE5D67B_4CA5_40A5_A922_CD0FEE1CC0D1_.wvu.FilterData" localSheetId="0" hidden="1">'укр'!$A$5:$O$93</definedName>
    <definedName name="Z_94E5261F_BBF3_44CC_BB96_6EE4FAC48D5E_.wvu.FilterData" localSheetId="1" hidden="1">'рус'!$A$3:$O$93</definedName>
    <definedName name="Z_94E5261F_BBF3_44CC_BB96_6EE4FAC48D5E_.wvu.FilterData" localSheetId="0" hidden="1">'укр'!$A$5:$O$99</definedName>
    <definedName name="Z_96EB6A92_EEAC_4FA2_AC0E_C005547C2A61_.wvu.FilterData" localSheetId="0" hidden="1">'укр'!$A$5:$O$99</definedName>
    <definedName name="Z_9E428FD8_4A7F_4695_B619_6CD4A85A7CD9_.wvu.FilterData" localSheetId="0" hidden="1">'укр'!$A$5:$O$93</definedName>
    <definedName name="Z_A9E7594B_7660_4272_BDBD_FFCD810F97CF_.wvu.FilterData" localSheetId="0" hidden="1">'укр'!$A$5:$O$99</definedName>
    <definedName name="Z_B005A4D0_4D83_4519_8DC2_94F47F9339DB_.wvu.FilterData" localSheetId="0" hidden="1">'укр'!$A$5:$O$99</definedName>
    <definedName name="Z_B6AA2B40_3CC2_41A0_9585_B2CF71A6FBEA_.wvu.FilterData" localSheetId="0" hidden="1">'укр'!$A$5:$O$93</definedName>
    <definedName name="Z_BD696675_756F_4C65_9FBC_AF64F1E4ED1A_.wvu.FilterData" localSheetId="0" hidden="1">'укр'!$A$5:$O$99</definedName>
    <definedName name="Z_BF88407D_B535_4517_A33E_4B66B4BE59F2_.wvu.FilterData" localSheetId="0" hidden="1">'укр'!$A$5:$O$93</definedName>
    <definedName name="Z_C412732E_09B2_4FD4_A85C_B91F17699E15_.wvu.FilterData" localSheetId="0" hidden="1">'укр'!$A$5:$O$93</definedName>
    <definedName name="Z_CCB6C31A_E2C2_467C_B0EF_22068EE5B7E6_.wvu.FilterData" localSheetId="0" hidden="1">'укр'!$A$5:$O$99</definedName>
    <definedName name="Z_D266BC48_5515_4A75_9DB6_3A407AEB8B33_.wvu.FilterData" localSheetId="0" hidden="1">'укр'!$A$5:$O$93</definedName>
    <definedName name="Z_D456CF22_C4A3_47CC_9796_39031F9CB851_.wvu.FilterData" localSheetId="1" hidden="1">'рус'!$A$3:$O$93</definedName>
    <definedName name="Z_D456CF22_C4A3_47CC_9796_39031F9CB851_.wvu.FilterData" localSheetId="0" hidden="1">'укр'!$A$5:$O$99</definedName>
    <definedName name="Z_DD69DD97_1E5C_4687_BB7A_6E54A3A2851D_.wvu.FilterData" localSheetId="0" hidden="1">'укр'!$A$5:$O$93</definedName>
    <definedName name="Z_E9CFA120_5FC1_4ACD_A9F4_51CC159105FA_.wvu.FilterData" localSheetId="0" hidden="1">'укр'!$A$5:$O$99</definedName>
    <definedName name="Z_EDF91F7F_6349_440C_99E3_AA497F3CC267_.wvu.FilterData" localSheetId="1" hidden="1">'рус'!$A$3:$O$93</definedName>
    <definedName name="Z_EDF91F7F_6349_440C_99E3_AA497F3CC267_.wvu.FilterData" localSheetId="0" hidden="1">'укр'!$A$5:$O$99</definedName>
    <definedName name="Z_F0F0F2F2_6B0B_46F3_97EF_06EC5C7DBFC2_.wvu.FilterData" localSheetId="0" hidden="1">'укр'!$A$5:$O$99</definedName>
    <definedName name="Z_F91456B9_4E53_4C5A_B738_AE85B41E256C_.wvu.FilterData" localSheetId="0" hidden="1">'укр'!$A$5:$O$93</definedName>
    <definedName name="Z_F9194F6B_BA54_43F5_8AA8_2451A733CA6A_.wvu.FilterData" localSheetId="1" hidden="1">'рус'!$A$3:$O$93</definedName>
    <definedName name="Z_F9194F6B_BA54_43F5_8AA8_2451A733CA6A_.wvu.FilterData" localSheetId="0" hidden="1">'укр'!$A$5:$O$99</definedName>
  </definedNames>
  <calcPr fullCalcOnLoad="1"/>
</workbook>
</file>

<file path=xl/sharedStrings.xml><?xml version="1.0" encoding="utf-8"?>
<sst xmlns="http://schemas.openxmlformats.org/spreadsheetml/2006/main" count="196" uniqueCount="84">
  <si>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</si>
  <si>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</si>
  <si>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</si>
  <si>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</si>
  <si>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</si>
  <si>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</si>
  <si>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</si>
  <si>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</si>
  <si>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</si>
  <si>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</si>
  <si>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</si>
  <si>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</si>
  <si>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</si>
  <si>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</si>
  <si>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</si>
  <si>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річних показників, %</t>
  </si>
  <si>
    <t>Відсоток фінансування до плану звітного періоду, %</t>
  </si>
  <si>
    <t>Затверджено на рік з урахуванням змін, тис. грн.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</si>
  <si>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</si>
  <si>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</si>
  <si>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</si>
  <si>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</si>
  <si>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</si>
  <si>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</si>
  <si>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</si>
  <si>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</si>
  <si>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</si>
  <si>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</si>
  <si>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</si>
  <si>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</si>
  <si>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</si>
  <si>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</si>
  <si>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</si>
  <si>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</si>
  <si>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</si>
  <si>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</si>
  <si>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</si>
  <si>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</si>
  <si>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</si>
  <si>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</si>
  <si>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</si>
  <si>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</si>
  <si>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</si>
  <si>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</si>
  <si>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</si>
  <si>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</si>
  <si>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</si>
  <si>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</si>
  <si>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</si>
  <si>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</si>
  <si>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</si>
  <si>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</si>
  <si>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</si>
  <si>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</si>
  <si>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</si>
  <si>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</si>
  <si>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</si>
  <si>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</si>
  <si>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</si>
  <si>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</si>
  <si>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</si>
  <si>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</si>
  <si>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</si>
  <si>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</si>
  <si>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</si>
  <si>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</si>
  <si>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</si>
  <si>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</si>
  <si>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із них субвенція держбюджету</t>
  </si>
  <si>
    <t>из них субвенция госбюджета</t>
  </si>
  <si>
    <t>- на выплату помощи семьям с детьми</t>
  </si>
  <si>
    <t>План на січень-вересень з урахуванням змін, тис. грн.</t>
  </si>
  <si>
    <t xml:space="preserve">План на январь-сентябрь с учетом изменений, тыс. грн. </t>
  </si>
  <si>
    <t>Щомісячна інформація про використання коштів міського бюджету міста Миколаєва у 2015 році (без видатків, що здійснюються за рахунок власних надходжень бюджетних установ)</t>
  </si>
  <si>
    <t>Ежемесячная информация об использовании средств городского бюджета города Николаева в 2015 году (без расходов, осуществляемых за счет собственных поступлений бюджетных учреждений)</t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</si>
  <si>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30 сентября </t>
    </r>
    <r>
      <rPr>
        <sz val="11"/>
        <rFont val="Times New Roman"/>
        <family val="1"/>
      </rPr>
      <t>тыс. грн.</t>
    </r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</si>
  <si>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30 вересня </t>
    </r>
    <r>
      <rPr>
        <sz val="11"/>
        <rFont val="Times New Roman"/>
        <family val="1"/>
      </rPr>
      <t xml:space="preserve">тис. грн.  </t>
    </r>
  </si>
  <si>
    <t>за счет сверхплановых поступлений в городской бюджет г. Николаева</t>
  </si>
  <si>
    <t>додаткових обсягів освітньої та медичної субвенції з державного бюджету</t>
  </si>
  <si>
    <t>понадпланових надходжень до міського бюджету м. Миколаєва</t>
  </si>
  <si>
    <t>Інші поточні видатки, у т.ч. утримання ЦПМСД</t>
  </si>
  <si>
    <t>из них выделено дополнительно за счет:</t>
  </si>
  <si>
    <t>дополнительных объемов образовательной и медицинской субвенции из государственного бюджета</t>
  </si>
  <si>
    <t>з них виділено додатково за рахунок: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</si>
</sst>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20" fillId="0" borderId="0" xfId="0" applyFont="1" applyFill="1" applyAlignment="1">
      <alignment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4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vertical="top" wrapText="1"/>
    </xf>
    <xf numFmtId="164" fontId="20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164" fontId="15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15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7" fillId="0" borderId="0" xfId="0" applyNumberFormat="1" applyFont="1" applyFill="1" applyAlignment="1">
      <alignment wrapText="1"/>
    </xf>
    <xf numFmtId="164" fontId="27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zoomScale="110" zoomScaleNormal="11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" sqref="C3:D3"/>
    </sheetView>
  </sheetViews>
  <sheetFormatPr defaultColWidth="9.140625" defaultRowHeight="15"/>
  <cols>
    <col min="1" max="1" width="36.140625" style="10" customWidth="1"/>
    <col min="2" max="5" width="17.28125" style="56" customWidth="1"/>
    <col min="6" max="6" width="15.8515625" style="56" customWidth="1"/>
    <col min="7" max="7" width="14.7109375" style="56" customWidth="1"/>
    <col min="8" max="8" width="15.140625" style="56" customWidth="1"/>
    <col min="9" max="9" width="9.140625" style="56" customWidth="1"/>
    <col min="10" max="16384" width="9.140625" style="10" customWidth="1"/>
  </cols>
  <sheetData>
    <row r="1" spans="1:9" s="1" customFormat="1" ht="32.25" customHeight="1">
      <c r="A1" s="73" t="s">
        <v>73</v>
      </c>
      <c r="B1" s="73"/>
      <c r="C1" s="73"/>
      <c r="D1" s="73"/>
      <c r="E1" s="73"/>
      <c r="F1" s="73"/>
      <c r="G1" s="73"/>
      <c r="H1" s="73"/>
      <c r="I1" s="61"/>
    </row>
    <row r="2" spans="1:9" s="1" customFormat="1" ht="12.75" customHeight="1">
      <c r="A2" s="15"/>
      <c r="B2" s="15"/>
      <c r="C2" s="15"/>
      <c r="D2" s="15"/>
      <c r="E2" s="15"/>
      <c r="F2" s="15"/>
      <c r="G2" s="15"/>
      <c r="H2" s="16"/>
      <c r="I2" s="61"/>
    </row>
    <row r="3" spans="1:9" s="1" customFormat="1" ht="31.5" customHeight="1">
      <c r="A3" s="72"/>
      <c r="B3" s="72" t="s">
        <v>17</v>
      </c>
      <c r="C3" s="75" t="s">
        <v>83</v>
      </c>
      <c r="D3" s="76"/>
      <c r="E3" s="72" t="s">
        <v>71</v>
      </c>
      <c r="F3" s="74" t="s">
        <v>76</v>
      </c>
      <c r="G3" s="72" t="s">
        <v>15</v>
      </c>
      <c r="H3" s="72" t="s">
        <v>16</v>
      </c>
      <c r="I3" s="61"/>
    </row>
    <row r="4" spans="1:9" s="1" customFormat="1" ht="74.25" customHeight="1">
      <c r="A4" s="72"/>
      <c r="B4" s="72"/>
      <c r="C4" s="71" t="s">
        <v>79</v>
      </c>
      <c r="D4" s="71" t="s">
        <v>78</v>
      </c>
      <c r="E4" s="72"/>
      <c r="F4" s="74"/>
      <c r="G4" s="72"/>
      <c r="H4" s="72"/>
      <c r="I4" s="70"/>
    </row>
    <row r="5" spans="1:9" s="2" customFormat="1" ht="16.5" customHeight="1">
      <c r="A5" s="17" t="s">
        <v>3</v>
      </c>
      <c r="B5" s="18">
        <f>B6+B13</f>
        <v>595828.484</v>
      </c>
      <c r="C5" s="18">
        <f>C6+C13</f>
        <v>22590.3</v>
      </c>
      <c r="D5" s="18">
        <f>D6+D13</f>
        <v>10913.1</v>
      </c>
      <c r="E5" s="18">
        <f>E6+E13</f>
        <v>418440.697</v>
      </c>
      <c r="F5" s="18">
        <f>F6+F13</f>
        <v>394532.823</v>
      </c>
      <c r="G5" s="19">
        <f>SUM(F5)/B5*100</f>
        <v>66.21583787860668</v>
      </c>
      <c r="H5" s="19">
        <f>SUM(F5)/E5*100</f>
        <v>94.28643672295574</v>
      </c>
      <c r="I5" s="62"/>
    </row>
    <row r="6" spans="1:9" s="14" customFormat="1" ht="16.5" customHeight="1">
      <c r="A6" s="30" t="s">
        <v>34</v>
      </c>
      <c r="B6" s="52">
        <v>562310.395</v>
      </c>
      <c r="C6" s="52">
        <v>22590.3</v>
      </c>
      <c r="D6" s="52">
        <v>10913.1</v>
      </c>
      <c r="E6" s="25">
        <v>398505.806</v>
      </c>
      <c r="F6" s="25">
        <v>375753.057</v>
      </c>
      <c r="G6" s="20">
        <f>SUM(F6)/B6*100</f>
        <v>66.8230678893994</v>
      </c>
      <c r="H6" s="20">
        <f>SUM(F6)/E6*100</f>
        <v>94.2904849421441</v>
      </c>
      <c r="I6" s="63"/>
    </row>
    <row r="7" spans="1:9" s="3" customFormat="1" ht="14.25" customHeight="1">
      <c r="A7" s="12" t="s">
        <v>1</v>
      </c>
      <c r="B7" s="11">
        <v>312527.163</v>
      </c>
      <c r="C7" s="11">
        <v>16552.257</v>
      </c>
      <c r="D7" s="11">
        <v>8006.676</v>
      </c>
      <c r="E7" s="11">
        <v>229376.833</v>
      </c>
      <c r="F7" s="11">
        <v>221465.585</v>
      </c>
      <c r="G7" s="20">
        <f aca="true" t="shared" si="0" ref="G7:G73">SUM(F7)/B7*100</f>
        <v>70.86282768963669</v>
      </c>
      <c r="H7" s="20">
        <f aca="true" t="shared" si="1" ref="H7:H73">SUM(F7)/E7*100</f>
        <v>96.55098211247864</v>
      </c>
      <c r="I7" s="63"/>
    </row>
    <row r="8" spans="1:9" s="3" customFormat="1" ht="15">
      <c r="A8" s="12" t="s">
        <v>29</v>
      </c>
      <c r="B8" s="11">
        <v>113569.19</v>
      </c>
      <c r="C8" s="11">
        <v>6008.47</v>
      </c>
      <c r="D8" s="11">
        <v>2906.424</v>
      </c>
      <c r="E8" s="11">
        <v>82833.221</v>
      </c>
      <c r="F8" s="11">
        <v>80994.281</v>
      </c>
      <c r="G8" s="20">
        <f t="shared" si="0"/>
        <v>71.31712482936614</v>
      </c>
      <c r="H8" s="20">
        <f t="shared" si="1"/>
        <v>97.77994869956825</v>
      </c>
      <c r="I8" s="63"/>
    </row>
    <row r="9" spans="1:9" s="3" customFormat="1" ht="15">
      <c r="A9" s="12" t="s">
        <v>4</v>
      </c>
      <c r="B9" s="11">
        <v>73.087</v>
      </c>
      <c r="C9" s="11"/>
      <c r="D9" s="11"/>
      <c r="E9" s="11">
        <v>73.087</v>
      </c>
      <c r="F9" s="11">
        <f>66.723+0.256</f>
        <v>66.979</v>
      </c>
      <c r="G9" s="20">
        <f t="shared" si="0"/>
        <v>91.64283661937142</v>
      </c>
      <c r="H9" s="20"/>
      <c r="I9" s="63"/>
    </row>
    <row r="10" spans="1:9" s="3" customFormat="1" ht="15">
      <c r="A10" s="12" t="s">
        <v>5</v>
      </c>
      <c r="B10" s="11">
        <v>33349.211</v>
      </c>
      <c r="C10" s="11"/>
      <c r="D10" s="11"/>
      <c r="E10" s="11">
        <v>19895.691</v>
      </c>
      <c r="F10" s="11">
        <v>18533.343</v>
      </c>
      <c r="G10" s="20">
        <f t="shared" si="0"/>
        <v>55.57355764728587</v>
      </c>
      <c r="H10" s="20">
        <f t="shared" si="1"/>
        <v>93.15254745361698</v>
      </c>
      <c r="I10" s="63"/>
    </row>
    <row r="11" spans="1:9" s="3" customFormat="1" ht="15">
      <c r="A11" s="12" t="s">
        <v>31</v>
      </c>
      <c r="B11" s="11">
        <v>78527.174</v>
      </c>
      <c r="C11" s="11"/>
      <c r="D11" s="11"/>
      <c r="E11" s="11">
        <v>48201.445</v>
      </c>
      <c r="F11" s="11">
        <v>38765.113</v>
      </c>
      <c r="G11" s="20">
        <f t="shared" si="0"/>
        <v>49.365221012537646</v>
      </c>
      <c r="H11" s="20">
        <f t="shared" si="1"/>
        <v>80.42313461764475</v>
      </c>
      <c r="I11" s="63"/>
    </row>
    <row r="12" spans="1:9" s="3" customFormat="1" ht="15">
      <c r="A12" s="12" t="s">
        <v>13</v>
      </c>
      <c r="B12" s="11">
        <f>SUM(B6)-B7-B8-B9-B10-B11</f>
        <v>24264.570000000007</v>
      </c>
      <c r="C12" s="11">
        <f>SUM(C6)-C7-C8-C9-C10-C11</f>
        <v>29.57299999999759</v>
      </c>
      <c r="D12" s="11"/>
      <c r="E12" s="11">
        <f>SUM(E6)-E7-E8-E9-E10-E11</f>
        <v>18125.52899999996</v>
      </c>
      <c r="F12" s="11">
        <f>SUM(F6)-F7-F8-F9-F10-F11</f>
        <v>15927.755999999972</v>
      </c>
      <c r="G12" s="20">
        <f t="shared" si="0"/>
        <v>65.64202868626961</v>
      </c>
      <c r="H12" s="20">
        <f t="shared" si="1"/>
        <v>87.87470975329883</v>
      </c>
      <c r="I12" s="63"/>
    </row>
    <row r="13" spans="1:9" s="3" customFormat="1" ht="15">
      <c r="A13" s="30" t="s">
        <v>14</v>
      </c>
      <c r="B13" s="55">
        <f>16516.755+17001.334</f>
        <v>33518.089</v>
      </c>
      <c r="C13" s="55"/>
      <c r="D13" s="55"/>
      <c r="E13" s="25">
        <f>7805.127+12129.764</f>
        <v>19934.891</v>
      </c>
      <c r="F13" s="25">
        <f>18467.166+312.6</f>
        <v>18779.766</v>
      </c>
      <c r="G13" s="20">
        <f t="shared" si="0"/>
        <v>56.02874913304275</v>
      </c>
      <c r="H13" s="20">
        <f t="shared" si="1"/>
        <v>94.20551133186532</v>
      </c>
      <c r="I13" s="63"/>
    </row>
    <row r="14" spans="1:9" s="2" customFormat="1" ht="14.25">
      <c r="A14" s="17" t="s">
        <v>6</v>
      </c>
      <c r="B14" s="18">
        <f>B15+B22</f>
        <v>373263.95</v>
      </c>
      <c r="C14" s="18">
        <f>C15+C22</f>
        <v>5101.9</v>
      </c>
      <c r="D14" s="18">
        <f>D15+D22</f>
        <v>10213.7</v>
      </c>
      <c r="E14" s="18">
        <f>E15+E22</f>
        <v>276006.615</v>
      </c>
      <c r="F14" s="18">
        <f>F15+F22</f>
        <v>256445.715</v>
      </c>
      <c r="G14" s="19">
        <f t="shared" si="0"/>
        <v>68.70358495643633</v>
      </c>
      <c r="H14" s="19">
        <f t="shared" si="1"/>
        <v>92.91288725090882</v>
      </c>
      <c r="I14" s="64"/>
    </row>
    <row r="15" spans="1:9" s="14" customFormat="1" ht="15">
      <c r="A15" s="30" t="s">
        <v>33</v>
      </c>
      <c r="B15" s="25">
        <f>327910.177+25068</f>
        <v>352978.177</v>
      </c>
      <c r="C15" s="25">
        <v>5101.9</v>
      </c>
      <c r="D15" s="25">
        <v>10213.7</v>
      </c>
      <c r="E15" s="25">
        <f>237788.873+18831.969</f>
        <v>256620.842</v>
      </c>
      <c r="F15" s="25">
        <f>224223.718+18831.969</f>
        <v>243055.687</v>
      </c>
      <c r="G15" s="20">
        <f>SUM(F15)/B15*100</f>
        <v>68.8585592077552</v>
      </c>
      <c r="H15" s="20">
        <f>SUM(F15)/E15*100</f>
        <v>94.7139309129069</v>
      </c>
      <c r="I15" s="65"/>
    </row>
    <row r="16" spans="1:9" s="3" customFormat="1" ht="15">
      <c r="A16" s="12" t="s">
        <v>1</v>
      </c>
      <c r="B16" s="11">
        <v>138388.382</v>
      </c>
      <c r="C16" s="11">
        <v>3384.476</v>
      </c>
      <c r="D16" s="11">
        <v>5500.731</v>
      </c>
      <c r="E16" s="11">
        <v>100774.2</v>
      </c>
      <c r="F16" s="11">
        <v>97639.978</v>
      </c>
      <c r="G16" s="20">
        <f t="shared" si="0"/>
        <v>70.55503980095669</v>
      </c>
      <c r="H16" s="20">
        <f t="shared" si="1"/>
        <v>96.88985672920252</v>
      </c>
      <c r="I16" s="63"/>
    </row>
    <row r="17" spans="1:9" s="3" customFormat="1" ht="15">
      <c r="A17" s="12" t="s">
        <v>29</v>
      </c>
      <c r="B17" s="11">
        <v>49741.847</v>
      </c>
      <c r="C17" s="11">
        <v>499.96</v>
      </c>
      <c r="D17" s="11">
        <v>2274.559</v>
      </c>
      <c r="E17" s="11">
        <v>36406.382</v>
      </c>
      <c r="F17" s="11">
        <v>34668.841</v>
      </c>
      <c r="G17" s="20">
        <f t="shared" si="0"/>
        <v>69.69753455274791</v>
      </c>
      <c r="H17" s="20">
        <f t="shared" si="1"/>
        <v>95.22737249749234</v>
      </c>
      <c r="I17" s="63"/>
    </row>
    <row r="18" spans="1:9" s="3" customFormat="1" ht="15">
      <c r="A18" s="12" t="s">
        <v>4</v>
      </c>
      <c r="B18" s="55">
        <v>11580.27</v>
      </c>
      <c r="C18" s="55"/>
      <c r="D18" s="55"/>
      <c r="E18" s="11">
        <v>9450.709</v>
      </c>
      <c r="F18" s="11">
        <v>8833.344</v>
      </c>
      <c r="G18" s="20">
        <f t="shared" si="0"/>
        <v>76.27925773751389</v>
      </c>
      <c r="H18" s="20">
        <f t="shared" si="1"/>
        <v>93.46752714531786</v>
      </c>
      <c r="I18" s="63"/>
    </row>
    <row r="19" spans="1:9" s="3" customFormat="1" ht="15">
      <c r="A19" s="12" t="s">
        <v>5</v>
      </c>
      <c r="B19" s="11">
        <v>4056.884</v>
      </c>
      <c r="C19" s="11"/>
      <c r="D19" s="11"/>
      <c r="E19" s="11">
        <v>3113.037</v>
      </c>
      <c r="F19" s="11">
        <v>2989.713</v>
      </c>
      <c r="G19" s="20">
        <f t="shared" si="0"/>
        <v>73.69481109146824</v>
      </c>
      <c r="H19" s="20">
        <f t="shared" si="1"/>
        <v>96.0384666163621</v>
      </c>
      <c r="I19" s="63"/>
    </row>
    <row r="20" spans="1:9" s="3" customFormat="1" ht="15">
      <c r="A20" s="12" t="s">
        <v>31</v>
      </c>
      <c r="B20" s="11">
        <v>30224.41</v>
      </c>
      <c r="C20" s="11"/>
      <c r="D20" s="11"/>
      <c r="E20" s="11">
        <v>20047.765</v>
      </c>
      <c r="F20" s="11">
        <v>16873.183</v>
      </c>
      <c r="G20" s="20">
        <f t="shared" si="0"/>
        <v>55.82634367387155</v>
      </c>
      <c r="H20" s="20">
        <f t="shared" si="1"/>
        <v>84.16490815809145</v>
      </c>
      <c r="I20" s="63"/>
    </row>
    <row r="21" spans="1:9" s="3" customFormat="1" ht="30">
      <c r="A21" s="53" t="s">
        <v>80</v>
      </c>
      <c r="B21" s="11">
        <f>SUM(B15)-B16-B17-B18-B19-B20</f>
        <v>118986.38400000002</v>
      </c>
      <c r="C21" s="11">
        <f>SUM(C15)-C16-C17-C18-C19-C20</f>
        <v>1217.4639999999995</v>
      </c>
      <c r="D21" s="11">
        <f>SUM(D15)-D16-D17-D18-D19-D20</f>
        <v>2438.4100000000008</v>
      </c>
      <c r="E21" s="11">
        <f>SUM(E15)-E16-E17-E18-E19-E20</f>
        <v>86828.749</v>
      </c>
      <c r="F21" s="11">
        <f>SUM(F15)-F16-F17-F18-F19-F20</f>
        <v>82050.628</v>
      </c>
      <c r="G21" s="20">
        <f t="shared" si="0"/>
        <v>68.95799774871718</v>
      </c>
      <c r="H21" s="20">
        <f t="shared" si="1"/>
        <v>94.49707492618603</v>
      </c>
      <c r="I21" s="63"/>
    </row>
    <row r="22" spans="1:9" s="3" customFormat="1" ht="15">
      <c r="A22" s="54" t="s">
        <v>14</v>
      </c>
      <c r="B22" s="25">
        <f>11416.945+8868.828</f>
        <v>20285.773</v>
      </c>
      <c r="C22" s="25"/>
      <c r="D22" s="25"/>
      <c r="E22" s="25">
        <f>10516.945+8868.828</f>
        <v>19385.773</v>
      </c>
      <c r="F22" s="25">
        <v>13390.028</v>
      </c>
      <c r="G22" s="20">
        <f t="shared" si="0"/>
        <v>66.00698923329172</v>
      </c>
      <c r="H22" s="20">
        <f t="shared" si="1"/>
        <v>69.07141644545203</v>
      </c>
      <c r="I22" s="63"/>
    </row>
    <row r="23" spans="1:9" s="2" customFormat="1" ht="28.5">
      <c r="A23" s="17" t="s">
        <v>28</v>
      </c>
      <c r="B23" s="18">
        <f>B24+B34</f>
        <v>700089.562</v>
      </c>
      <c r="C23" s="18">
        <f>C24+C34</f>
        <v>1773.3</v>
      </c>
      <c r="D23" s="18">
        <f>D24+D34</f>
        <v>0</v>
      </c>
      <c r="E23" s="18">
        <f>E24+E34</f>
        <v>412000.966</v>
      </c>
      <c r="F23" s="18">
        <f>F24+F34</f>
        <v>396169.105</v>
      </c>
      <c r="G23" s="19">
        <f t="shared" si="0"/>
        <v>56.58834619219761</v>
      </c>
      <c r="H23" s="19">
        <f t="shared" si="1"/>
        <v>96.15732430103088</v>
      </c>
      <c r="I23" s="64"/>
    </row>
    <row r="24" spans="1:9" s="14" customFormat="1" ht="15">
      <c r="A24" s="30" t="s">
        <v>33</v>
      </c>
      <c r="B24" s="25">
        <v>696905.234</v>
      </c>
      <c r="C24" s="25">
        <v>1773.3</v>
      </c>
      <c r="D24" s="25"/>
      <c r="E24" s="25">
        <v>411618.069</v>
      </c>
      <c r="F24" s="25">
        <v>395913.434</v>
      </c>
      <c r="G24" s="20">
        <f>SUM(F24)/B24*100</f>
        <v>56.81022536272127</v>
      </c>
      <c r="H24" s="20">
        <f>SUM(F24)/E24*100</f>
        <v>96.18465850195706</v>
      </c>
      <c r="I24" s="65"/>
    </row>
    <row r="25" spans="1:9" s="3" customFormat="1" ht="15">
      <c r="A25" s="12" t="s">
        <v>1</v>
      </c>
      <c r="B25" s="11">
        <v>11580.045</v>
      </c>
      <c r="C25" s="11">
        <v>1303.275</v>
      </c>
      <c r="D25" s="11"/>
      <c r="E25" s="11">
        <v>8078.96</v>
      </c>
      <c r="F25" s="11">
        <v>8028.425</v>
      </c>
      <c r="G25" s="20">
        <f t="shared" si="0"/>
        <v>69.3298255749438</v>
      </c>
      <c r="H25" s="20">
        <f t="shared" si="1"/>
        <v>99.37448632002139</v>
      </c>
      <c r="I25" s="63"/>
    </row>
    <row r="26" spans="1:9" s="3" customFormat="1" ht="15">
      <c r="A26" s="12" t="s">
        <v>29</v>
      </c>
      <c r="B26" s="11">
        <v>4163.178</v>
      </c>
      <c r="C26" s="11">
        <v>470.025</v>
      </c>
      <c r="D26" s="11"/>
      <c r="E26" s="11">
        <v>2904.25</v>
      </c>
      <c r="F26" s="11">
        <v>2890.527</v>
      </c>
      <c r="G26" s="20">
        <f t="shared" si="0"/>
        <v>69.4307810043193</v>
      </c>
      <c r="H26" s="20">
        <f t="shared" si="1"/>
        <v>99.52748558147543</v>
      </c>
      <c r="I26" s="63"/>
    </row>
    <row r="27" spans="1:9" s="3" customFormat="1" ht="15">
      <c r="A27" s="12" t="s">
        <v>4</v>
      </c>
      <c r="B27" s="11">
        <v>77.62</v>
      </c>
      <c r="C27" s="11"/>
      <c r="D27" s="11"/>
      <c r="E27" s="11">
        <v>73.9</v>
      </c>
      <c r="F27" s="11">
        <v>67.28</v>
      </c>
      <c r="G27" s="20">
        <f t="shared" si="0"/>
        <v>86.6786910590054</v>
      </c>
      <c r="H27" s="20">
        <f t="shared" si="1"/>
        <v>91.04194857916103</v>
      </c>
      <c r="I27" s="63"/>
    </row>
    <row r="28" spans="1:9" s="3" customFormat="1" ht="15">
      <c r="A28" s="12" t="s">
        <v>5</v>
      </c>
      <c r="B28" s="11">
        <v>138.829</v>
      </c>
      <c r="C28" s="11"/>
      <c r="D28" s="11"/>
      <c r="E28" s="11">
        <v>113.42</v>
      </c>
      <c r="F28" s="11">
        <v>113.42</v>
      </c>
      <c r="G28" s="20">
        <f t="shared" si="0"/>
        <v>81.69762801720101</v>
      </c>
      <c r="H28" s="20">
        <f t="shared" si="1"/>
        <v>100</v>
      </c>
      <c r="I28" s="63"/>
    </row>
    <row r="29" spans="1:9" s="3" customFormat="1" ht="15">
      <c r="A29" s="12" t="s">
        <v>31</v>
      </c>
      <c r="B29" s="11">
        <v>1150.295</v>
      </c>
      <c r="C29" s="11"/>
      <c r="D29" s="11"/>
      <c r="E29" s="11">
        <v>712.204</v>
      </c>
      <c r="F29" s="11">
        <v>652.941</v>
      </c>
      <c r="G29" s="20">
        <f t="shared" si="0"/>
        <v>56.762917338595756</v>
      </c>
      <c r="H29" s="20">
        <f t="shared" si="1"/>
        <v>91.6789290708842</v>
      </c>
      <c r="I29" s="63"/>
    </row>
    <row r="30" spans="1:9" s="3" customFormat="1" ht="15">
      <c r="A30" s="12" t="s">
        <v>13</v>
      </c>
      <c r="B30" s="11">
        <f>SUM(B24)-B25-B26-B27-B28-B29</f>
        <v>679795.267</v>
      </c>
      <c r="C30" s="11"/>
      <c r="D30" s="11"/>
      <c r="E30" s="11">
        <f>SUM(E24)-E25-E26-E27-E28-E29</f>
        <v>399735.33499999996</v>
      </c>
      <c r="F30" s="11">
        <f>SUM(F24)-F25-F26-F27-F28-F29</f>
        <v>384160.841</v>
      </c>
      <c r="G30" s="20">
        <f t="shared" si="0"/>
        <v>56.51125561602358</v>
      </c>
      <c r="H30" s="20">
        <f t="shared" si="1"/>
        <v>96.1037985295946</v>
      </c>
      <c r="I30" s="63"/>
    </row>
    <row r="31" spans="1:9" s="3" customFormat="1" ht="15">
      <c r="A31" s="12" t="s">
        <v>20</v>
      </c>
      <c r="B31" s="11">
        <f>SUM(B32:B33)</f>
        <v>664987.23</v>
      </c>
      <c r="C31" s="11"/>
      <c r="D31" s="11"/>
      <c r="E31" s="11">
        <f>SUM(E32:E33)</f>
        <v>387033.371</v>
      </c>
      <c r="F31" s="11">
        <f>SUM(F32:F33)</f>
        <v>372859.15904</v>
      </c>
      <c r="G31" s="20">
        <f>SUM(F31)/B31*100</f>
        <v>56.0701231871776</v>
      </c>
      <c r="H31" s="20">
        <f>SUM(F31)/E31*100</f>
        <v>96.33772872778972</v>
      </c>
      <c r="I31" s="63"/>
    </row>
    <row r="32" spans="1:9" s="3" customFormat="1" ht="16.5" customHeight="1">
      <c r="A32" s="13" t="s">
        <v>24</v>
      </c>
      <c r="B32" s="11">
        <v>431369.7</v>
      </c>
      <c r="C32" s="11"/>
      <c r="D32" s="11"/>
      <c r="E32" s="11">
        <v>307877.823</v>
      </c>
      <c r="F32" s="11">
        <v>301895.44904</v>
      </c>
      <c r="G32" s="20">
        <f>SUM(F32)/B32*100</f>
        <v>69.98531631683912</v>
      </c>
      <c r="H32" s="20">
        <f>SUM(F32)/E32*100</f>
        <v>98.05690000607807</v>
      </c>
      <c r="I32" s="63"/>
    </row>
    <row r="33" spans="1:9" s="3" customFormat="1" ht="15">
      <c r="A33" s="13" t="s">
        <v>21</v>
      </c>
      <c r="B33" s="11">
        <v>233617.53</v>
      </c>
      <c r="C33" s="11"/>
      <c r="D33" s="11"/>
      <c r="E33" s="11">
        <v>79155.548</v>
      </c>
      <c r="F33" s="11">
        <v>70963.71</v>
      </c>
      <c r="G33" s="20">
        <f>SUM(F33)/B33*100</f>
        <v>30.376021011779386</v>
      </c>
      <c r="H33" s="20">
        <f>SUM(F33)/E33*100</f>
        <v>89.65096167358985</v>
      </c>
      <c r="I33" s="63"/>
    </row>
    <row r="34" spans="1:9" s="3" customFormat="1" ht="15">
      <c r="A34" s="30" t="s">
        <v>14</v>
      </c>
      <c r="B34" s="25">
        <f>2396.328+788</f>
        <v>3184.328</v>
      </c>
      <c r="C34" s="25"/>
      <c r="D34" s="25"/>
      <c r="E34" s="25">
        <f>708-325.103</f>
        <v>382.897</v>
      </c>
      <c r="F34" s="25">
        <v>255.671</v>
      </c>
      <c r="G34" s="20">
        <f>SUM(F34)/B34*100</f>
        <v>8.02904097819069</v>
      </c>
      <c r="H34" s="20">
        <f>SUM(F34)/E34*100</f>
        <v>66.77278745981296</v>
      </c>
      <c r="I34" s="63"/>
    </row>
    <row r="35" spans="1:9" s="3" customFormat="1" ht="15">
      <c r="A35" s="12" t="s">
        <v>68</v>
      </c>
      <c r="B35" s="11">
        <v>156.528</v>
      </c>
      <c r="C35" s="11"/>
      <c r="D35" s="11"/>
      <c r="E35" s="11">
        <v>38.50684</v>
      </c>
      <c r="F35" s="11">
        <v>38.507</v>
      </c>
      <c r="G35" s="20">
        <f>SUM(F35)/B35*100</f>
        <v>24.600710416027805</v>
      </c>
      <c r="H35" s="20">
        <f>SUM(F35)/E35*100</f>
        <v>100.00041551059499</v>
      </c>
      <c r="I35" s="63"/>
    </row>
    <row r="36" spans="1:9" s="2" customFormat="1" ht="14.25">
      <c r="A36" s="17" t="s">
        <v>7</v>
      </c>
      <c r="B36" s="18">
        <f>B37+B42</f>
        <v>96866.24799999999</v>
      </c>
      <c r="C36" s="18">
        <f>C37+C42</f>
        <v>3629.6</v>
      </c>
      <c r="D36" s="18">
        <f>D37+D42</f>
        <v>0</v>
      </c>
      <c r="E36" s="18">
        <f>E37+E42</f>
        <v>67172.789</v>
      </c>
      <c r="F36" s="18">
        <f>F37+F42</f>
        <v>58964.926999999996</v>
      </c>
      <c r="G36" s="19">
        <f t="shared" si="0"/>
        <v>60.872520839250434</v>
      </c>
      <c r="H36" s="19">
        <f t="shared" si="1"/>
        <v>87.78097184560848</v>
      </c>
      <c r="I36" s="64"/>
    </row>
    <row r="37" spans="1:9" s="14" customFormat="1" ht="15">
      <c r="A37" s="30" t="s">
        <v>33</v>
      </c>
      <c r="B37" s="25">
        <v>77949.817</v>
      </c>
      <c r="C37" s="25">
        <v>3629.6</v>
      </c>
      <c r="D37" s="25"/>
      <c r="E37" s="25">
        <v>53956.23</v>
      </c>
      <c r="F37" s="25">
        <v>51816.876</v>
      </c>
      <c r="G37" s="20">
        <f>SUM(F37)/B37*100</f>
        <v>66.47466022915744</v>
      </c>
      <c r="H37" s="20">
        <f>SUM(F37)/E37*100</f>
        <v>96.03501949635842</v>
      </c>
      <c r="I37" s="65"/>
    </row>
    <row r="38" spans="1:9" s="3" customFormat="1" ht="15">
      <c r="A38" s="12" t="s">
        <v>1</v>
      </c>
      <c r="B38" s="11">
        <v>33097.391</v>
      </c>
      <c r="C38" s="11">
        <v>1732.926</v>
      </c>
      <c r="D38" s="11"/>
      <c r="E38" s="11">
        <v>24365.522</v>
      </c>
      <c r="F38" s="11">
        <v>23276.608</v>
      </c>
      <c r="G38" s="20">
        <f t="shared" si="0"/>
        <v>70.32762189623949</v>
      </c>
      <c r="H38" s="20">
        <f t="shared" si="1"/>
        <v>95.53092275223982</v>
      </c>
      <c r="I38" s="63"/>
    </row>
    <row r="39" spans="1:9" s="3" customFormat="1" ht="15">
      <c r="A39" s="12" t="s">
        <v>29</v>
      </c>
      <c r="B39" s="11">
        <v>12086.354</v>
      </c>
      <c r="C39" s="11">
        <v>629.053</v>
      </c>
      <c r="D39" s="11"/>
      <c r="E39" s="11">
        <v>8963.047</v>
      </c>
      <c r="F39" s="11">
        <v>8499.674</v>
      </c>
      <c r="G39" s="20">
        <f t="shared" si="0"/>
        <v>70.32454948779426</v>
      </c>
      <c r="H39" s="20">
        <f t="shared" si="1"/>
        <v>94.83018442277499</v>
      </c>
      <c r="I39" s="63"/>
    </row>
    <row r="40" spans="1:9" s="3" customFormat="1" ht="15">
      <c r="A40" s="12" t="s">
        <v>31</v>
      </c>
      <c r="B40" s="11">
        <v>5631.026</v>
      </c>
      <c r="C40" s="11"/>
      <c r="D40" s="11"/>
      <c r="E40" s="11">
        <v>3048.594</v>
      </c>
      <c r="F40" s="11">
        <v>3005.489</v>
      </c>
      <c r="G40" s="20">
        <f t="shared" si="0"/>
        <v>53.373736864294365</v>
      </c>
      <c r="H40" s="20">
        <f t="shared" si="1"/>
        <v>98.58606951269995</v>
      </c>
      <c r="I40" s="63"/>
    </row>
    <row r="41" spans="1:9" s="3" customFormat="1" ht="15">
      <c r="A41" s="12" t="s">
        <v>13</v>
      </c>
      <c r="B41" s="11">
        <f>SUM(B37)-B38-B39-B40</f>
        <v>27135.045999999995</v>
      </c>
      <c r="C41" s="11">
        <f>SUM(C37)-C38-C39-C40</f>
        <v>1267.621</v>
      </c>
      <c r="D41" s="11"/>
      <c r="E41" s="11">
        <f>SUM(E37)-E38-E39-E40</f>
        <v>17579.067</v>
      </c>
      <c r="F41" s="11">
        <f>SUM(F37)-F38-F39-F40</f>
        <v>17035.104999999996</v>
      </c>
      <c r="G41" s="20">
        <f t="shared" si="0"/>
        <v>62.77897962656853</v>
      </c>
      <c r="H41" s="20">
        <f t="shared" si="1"/>
        <v>96.90562644763796</v>
      </c>
      <c r="I41" s="63"/>
    </row>
    <row r="42" spans="1:9" s="3" customFormat="1" ht="15">
      <c r="A42" s="30" t="s">
        <v>14</v>
      </c>
      <c r="B42" s="25">
        <f>8951+9965.431</f>
        <v>18916.431</v>
      </c>
      <c r="C42" s="25"/>
      <c r="D42" s="25"/>
      <c r="E42" s="25">
        <f>7566.559+5650</f>
        <v>13216.559000000001</v>
      </c>
      <c r="F42" s="25">
        <v>7148.051</v>
      </c>
      <c r="G42" s="20">
        <f t="shared" si="0"/>
        <v>37.787524507133504</v>
      </c>
      <c r="H42" s="20">
        <f t="shared" si="1"/>
        <v>54.0840547074318</v>
      </c>
      <c r="I42" s="63"/>
    </row>
    <row r="43" spans="1:9" s="2" customFormat="1" ht="14.25">
      <c r="A43" s="17" t="s">
        <v>8</v>
      </c>
      <c r="B43" s="18">
        <f>B44+B49</f>
        <v>45876.041</v>
      </c>
      <c r="C43" s="18">
        <f>C44+C49</f>
        <v>2386.2</v>
      </c>
      <c r="D43" s="18">
        <f>D44+D49</f>
        <v>0</v>
      </c>
      <c r="E43" s="18">
        <f>E44+E49</f>
        <v>33024.525</v>
      </c>
      <c r="F43" s="18">
        <f>F44+F49</f>
        <v>30072.6</v>
      </c>
      <c r="G43" s="19">
        <f t="shared" si="0"/>
        <v>65.5518639893098</v>
      </c>
      <c r="H43" s="19">
        <f t="shared" si="1"/>
        <v>91.06141572058947</v>
      </c>
      <c r="I43" s="64"/>
    </row>
    <row r="44" spans="1:9" s="14" customFormat="1" ht="15">
      <c r="A44" s="30" t="s">
        <v>33</v>
      </c>
      <c r="B44" s="25">
        <v>40360.364</v>
      </c>
      <c r="C44" s="25">
        <v>2386.2</v>
      </c>
      <c r="D44" s="25"/>
      <c r="E44" s="25">
        <v>28581.964</v>
      </c>
      <c r="F44" s="25">
        <v>27354.247</v>
      </c>
      <c r="G44" s="20">
        <f>SUM(F44)/B44*100</f>
        <v>67.7750255176093</v>
      </c>
      <c r="H44" s="20">
        <f>SUM(F44)/E44*100</f>
        <v>95.7045743952375</v>
      </c>
      <c r="I44" s="65"/>
    </row>
    <row r="45" spans="1:9" s="3" customFormat="1" ht="15">
      <c r="A45" s="12" t="s">
        <v>1</v>
      </c>
      <c r="B45" s="11">
        <v>20371.66</v>
      </c>
      <c r="C45" s="11">
        <v>1744.646</v>
      </c>
      <c r="D45" s="11"/>
      <c r="E45" s="11">
        <v>14449.278</v>
      </c>
      <c r="F45" s="11">
        <v>14049.472</v>
      </c>
      <c r="G45" s="20">
        <f t="shared" si="0"/>
        <v>68.96576911258092</v>
      </c>
      <c r="H45" s="20">
        <f t="shared" si="1"/>
        <v>97.23303821824176</v>
      </c>
      <c r="I45" s="63"/>
    </row>
    <row r="46" spans="1:9" s="3" customFormat="1" ht="15">
      <c r="A46" s="12" t="s">
        <v>29</v>
      </c>
      <c r="B46" s="11">
        <v>7318.765</v>
      </c>
      <c r="C46" s="11">
        <v>633.889</v>
      </c>
      <c r="D46" s="11"/>
      <c r="E46" s="11">
        <v>5190.711</v>
      </c>
      <c r="F46" s="11">
        <v>5057.314</v>
      </c>
      <c r="G46" s="20">
        <f t="shared" si="0"/>
        <v>69.10064744529986</v>
      </c>
      <c r="H46" s="20">
        <f t="shared" si="1"/>
        <v>97.43008231434962</v>
      </c>
      <c r="I46" s="63"/>
    </row>
    <row r="47" spans="1:9" s="3" customFormat="1" ht="15">
      <c r="A47" s="12" t="s">
        <v>31</v>
      </c>
      <c r="B47" s="11">
        <v>3303.442</v>
      </c>
      <c r="C47" s="11"/>
      <c r="D47" s="11"/>
      <c r="E47" s="11">
        <v>1913.203</v>
      </c>
      <c r="F47" s="11">
        <f>1714.528+10.629</f>
        <v>1725.157</v>
      </c>
      <c r="G47" s="20">
        <f t="shared" si="0"/>
        <v>52.22301466167713</v>
      </c>
      <c r="H47" s="20">
        <f t="shared" si="1"/>
        <v>90.17114231997337</v>
      </c>
      <c r="I47" s="63"/>
    </row>
    <row r="48" spans="1:9" s="3" customFormat="1" ht="15">
      <c r="A48" s="12" t="s">
        <v>13</v>
      </c>
      <c r="B48" s="11">
        <f>SUM(B44)-B45-B46-B47</f>
        <v>9366.497000000003</v>
      </c>
      <c r="C48" s="11">
        <f>SUM(C44)-C45-C46-C47</f>
        <v>7.66499999999985</v>
      </c>
      <c r="D48" s="11"/>
      <c r="E48" s="11">
        <f>SUM(E44)-E45-E46-E47</f>
        <v>7028.771999999999</v>
      </c>
      <c r="F48" s="11">
        <f>SUM(F44)-F45-F46-F47</f>
        <v>6522.303999999999</v>
      </c>
      <c r="G48" s="20">
        <f t="shared" si="0"/>
        <v>69.63440013913416</v>
      </c>
      <c r="H48" s="20">
        <f t="shared" si="1"/>
        <v>92.79436009590295</v>
      </c>
      <c r="I48" s="63"/>
    </row>
    <row r="49" spans="1:9" s="3" customFormat="1" ht="15">
      <c r="A49" s="30" t="s">
        <v>14</v>
      </c>
      <c r="B49" s="25">
        <f>2828.9+2686.777</f>
        <v>5515.677</v>
      </c>
      <c r="C49" s="25"/>
      <c r="D49" s="25"/>
      <c r="E49" s="25">
        <f>1763.661+2678.9</f>
        <v>4442.561</v>
      </c>
      <c r="F49" s="25">
        <v>2718.353</v>
      </c>
      <c r="G49" s="20">
        <f t="shared" si="0"/>
        <v>49.28412232986087</v>
      </c>
      <c r="H49" s="20">
        <f t="shared" si="1"/>
        <v>61.188872814577</v>
      </c>
      <c r="I49" s="63"/>
    </row>
    <row r="50" spans="1:9" s="3" customFormat="1" ht="14.25">
      <c r="A50" s="17" t="s">
        <v>0</v>
      </c>
      <c r="B50" s="18">
        <f>B51+B56</f>
        <v>79201.18000000001</v>
      </c>
      <c r="C50" s="18">
        <f>C51+C56</f>
        <v>3082.3</v>
      </c>
      <c r="D50" s="18">
        <f>D51+D56</f>
        <v>0</v>
      </c>
      <c r="E50" s="18">
        <f>E51+E56</f>
        <v>57003.795</v>
      </c>
      <c r="F50" s="18">
        <f>F51+F56</f>
        <v>54670.525</v>
      </c>
      <c r="G50" s="19">
        <f t="shared" si="0"/>
        <v>69.02741221784827</v>
      </c>
      <c r="H50" s="19">
        <f t="shared" si="1"/>
        <v>95.90681637950597</v>
      </c>
      <c r="I50" s="63"/>
    </row>
    <row r="51" spans="1:9" s="3" customFormat="1" ht="15">
      <c r="A51" s="30" t="s">
        <v>33</v>
      </c>
      <c r="B51" s="25">
        <v>74795.85</v>
      </c>
      <c r="C51" s="25">
        <v>3082.3</v>
      </c>
      <c r="D51" s="25"/>
      <c r="E51" s="25">
        <v>54388.972</v>
      </c>
      <c r="F51" s="25">
        <v>52094.051</v>
      </c>
      <c r="G51" s="20">
        <f>SUM(F51)/B51*100</f>
        <v>69.64831738659296</v>
      </c>
      <c r="H51" s="20">
        <f>SUM(F51)/E51*100</f>
        <v>95.78053984914442</v>
      </c>
      <c r="I51" s="63"/>
    </row>
    <row r="52" spans="1:9" s="3" customFormat="1" ht="15">
      <c r="A52" s="12" t="s">
        <v>1</v>
      </c>
      <c r="B52" s="11">
        <v>41542.044</v>
      </c>
      <c r="C52" s="11">
        <v>2261.4</v>
      </c>
      <c r="D52" s="11"/>
      <c r="E52" s="11">
        <v>29921.722</v>
      </c>
      <c r="F52" s="11">
        <v>29640.632</v>
      </c>
      <c r="G52" s="20">
        <f t="shared" si="0"/>
        <v>71.3509234162864</v>
      </c>
      <c r="H52" s="20">
        <f t="shared" si="1"/>
        <v>99.06058214162941</v>
      </c>
      <c r="I52" s="63"/>
    </row>
    <row r="53" spans="1:9" s="3" customFormat="1" ht="15">
      <c r="A53" s="12" t="s">
        <v>29</v>
      </c>
      <c r="B53" s="11">
        <v>15008.932</v>
      </c>
      <c r="C53" s="11">
        <v>820.9</v>
      </c>
      <c r="D53" s="11"/>
      <c r="E53" s="11">
        <v>10823.028</v>
      </c>
      <c r="F53" s="11">
        <v>10723.958</v>
      </c>
      <c r="G53" s="20">
        <f t="shared" si="0"/>
        <v>71.45050693813523</v>
      </c>
      <c r="H53" s="20">
        <f t="shared" si="1"/>
        <v>99.08463694263749</v>
      </c>
      <c r="I53" s="63"/>
    </row>
    <row r="54" spans="1:9" s="3" customFormat="1" ht="15">
      <c r="A54" s="12" t="s">
        <v>31</v>
      </c>
      <c r="B54" s="11">
        <v>4210.676</v>
      </c>
      <c r="C54" s="11"/>
      <c r="D54" s="11"/>
      <c r="E54" s="11">
        <v>2619.296</v>
      </c>
      <c r="F54" s="11">
        <v>2405.861</v>
      </c>
      <c r="G54" s="20">
        <f t="shared" si="0"/>
        <v>57.13716752369452</v>
      </c>
      <c r="H54" s="20">
        <f t="shared" si="1"/>
        <v>91.85143641650275</v>
      </c>
      <c r="I54" s="63"/>
    </row>
    <row r="55" spans="1:9" s="3" customFormat="1" ht="15">
      <c r="A55" s="12" t="s">
        <v>13</v>
      </c>
      <c r="B55" s="11">
        <f>SUM(B51)-B52-B53-B54</f>
        <v>14034.198000000004</v>
      </c>
      <c r="C55" s="11"/>
      <c r="D55" s="11"/>
      <c r="E55" s="11">
        <f>SUM(E51)-E52-E53-E54</f>
        <v>11024.926</v>
      </c>
      <c r="F55" s="11">
        <f>SUM(F51)-F52-F53-F54</f>
        <v>9323.599999999999</v>
      </c>
      <c r="G55" s="20">
        <f t="shared" si="0"/>
        <v>66.43486147195583</v>
      </c>
      <c r="H55" s="20">
        <f t="shared" si="1"/>
        <v>84.56836807793539</v>
      </c>
      <c r="I55" s="63"/>
    </row>
    <row r="56" spans="1:9" s="3" customFormat="1" ht="15">
      <c r="A56" s="30" t="s">
        <v>14</v>
      </c>
      <c r="B56" s="25">
        <f>200+4205.33</f>
        <v>4405.33</v>
      </c>
      <c r="C56" s="25"/>
      <c r="D56" s="25"/>
      <c r="E56" s="25">
        <f>200+2414.823</f>
        <v>2614.823</v>
      </c>
      <c r="F56" s="25">
        <v>2576.474</v>
      </c>
      <c r="G56" s="20">
        <f t="shared" si="0"/>
        <v>58.48538020988212</v>
      </c>
      <c r="H56" s="20">
        <f t="shared" si="1"/>
        <v>98.5333997750517</v>
      </c>
      <c r="I56" s="63"/>
    </row>
    <row r="57" spans="1:9" s="3" customFormat="1" ht="14.25" customHeight="1">
      <c r="A57" s="21" t="s">
        <v>9</v>
      </c>
      <c r="B57" s="22">
        <f>B58+B63</f>
        <v>294306.634</v>
      </c>
      <c r="C57" s="22">
        <f>C58+C63</f>
        <v>3050</v>
      </c>
      <c r="D57" s="22">
        <f>D58+D63</f>
        <v>0</v>
      </c>
      <c r="E57" s="22">
        <f>E58+E63</f>
        <v>200134.451</v>
      </c>
      <c r="F57" s="22">
        <f>F58+F63</f>
        <v>169419.74800000002</v>
      </c>
      <c r="G57" s="19">
        <f t="shared" si="0"/>
        <v>57.565725140942625</v>
      </c>
      <c r="H57" s="19">
        <f t="shared" si="1"/>
        <v>84.65296562059673</v>
      </c>
      <c r="I57" s="63"/>
    </row>
    <row r="58" spans="1:9" s="3" customFormat="1" ht="14.25" customHeight="1">
      <c r="A58" s="30" t="s">
        <v>33</v>
      </c>
      <c r="B58" s="25">
        <f>158681.628+35861.8</f>
        <v>194543.428</v>
      </c>
      <c r="C58" s="25">
        <v>3050</v>
      </c>
      <c r="D58" s="25"/>
      <c r="E58" s="25">
        <f>112013.795+20445.9+119</f>
        <v>132578.695</v>
      </c>
      <c r="F58" s="25">
        <f>105299.071+2.562+10791.202</f>
        <v>116092.835</v>
      </c>
      <c r="G58" s="20">
        <f>SUM(F58)/B58*100</f>
        <v>59.674508768294146</v>
      </c>
      <c r="H58" s="20">
        <f>SUM(F58)/E58*100</f>
        <v>87.56522682622574</v>
      </c>
      <c r="I58" s="63"/>
    </row>
    <row r="59" spans="1:9" s="3" customFormat="1" ht="15">
      <c r="A59" s="12" t="s">
        <v>1</v>
      </c>
      <c r="B59" s="11">
        <v>423.637</v>
      </c>
      <c r="C59" s="11"/>
      <c r="D59" s="11"/>
      <c r="E59" s="11">
        <v>341.296</v>
      </c>
      <c r="F59" s="11">
        <v>288.289</v>
      </c>
      <c r="G59" s="20">
        <f t="shared" si="0"/>
        <v>68.05094927968992</v>
      </c>
      <c r="H59" s="20">
        <f t="shared" si="1"/>
        <v>84.46890675542637</v>
      </c>
      <c r="I59" s="63"/>
    </row>
    <row r="60" spans="1:9" s="3" customFormat="1" ht="15">
      <c r="A60" s="12" t="s">
        <v>29</v>
      </c>
      <c r="B60" s="11">
        <v>153.961</v>
      </c>
      <c r="C60" s="11"/>
      <c r="D60" s="11"/>
      <c r="E60" s="11">
        <v>123.661</v>
      </c>
      <c r="F60" s="11">
        <v>101.727</v>
      </c>
      <c r="G60" s="20">
        <f t="shared" si="0"/>
        <v>66.07322633653978</v>
      </c>
      <c r="H60" s="20">
        <f t="shared" si="1"/>
        <v>82.26279910400207</v>
      </c>
      <c r="I60" s="63"/>
    </row>
    <row r="61" spans="1:9" s="3" customFormat="1" ht="15">
      <c r="A61" s="12" t="s">
        <v>31</v>
      </c>
      <c r="B61" s="11">
        <v>15891.008</v>
      </c>
      <c r="C61" s="11"/>
      <c r="D61" s="11"/>
      <c r="E61" s="11">
        <v>10672.258</v>
      </c>
      <c r="F61" s="11">
        <f>9781.519+303.294</f>
        <v>10084.813</v>
      </c>
      <c r="G61" s="20">
        <f t="shared" si="0"/>
        <v>63.46238703045144</v>
      </c>
      <c r="H61" s="20">
        <f t="shared" si="1"/>
        <v>94.49558846871956</v>
      </c>
      <c r="I61" s="63"/>
    </row>
    <row r="62" spans="1:9" s="3" customFormat="1" ht="15">
      <c r="A62" s="12" t="s">
        <v>13</v>
      </c>
      <c r="B62" s="11">
        <f>SUM(B58)-B59-B60-B61</f>
        <v>178074.82200000001</v>
      </c>
      <c r="C62" s="11"/>
      <c r="D62" s="11"/>
      <c r="E62" s="11">
        <f>SUM(E58)-E59-E60-E61</f>
        <v>121441.48000000001</v>
      </c>
      <c r="F62" s="11">
        <f>SUM(F58)-F59-F60-F61</f>
        <v>105618.00600000001</v>
      </c>
      <c r="G62" s="20">
        <f t="shared" si="0"/>
        <v>59.311027136671804</v>
      </c>
      <c r="H62" s="20">
        <f t="shared" si="1"/>
        <v>86.97028889964122</v>
      </c>
      <c r="I62" s="63"/>
    </row>
    <row r="63" spans="1:9" s="3" customFormat="1" ht="15">
      <c r="A63" s="30" t="s">
        <v>14</v>
      </c>
      <c r="B63" s="25">
        <f>61251.718-35861.8+74373.288</f>
        <v>99763.206</v>
      </c>
      <c r="C63" s="25"/>
      <c r="D63" s="25"/>
      <c r="E63" s="25">
        <f>43599.3-20445.9+44402.356</f>
        <v>67555.756</v>
      </c>
      <c r="F63" s="25">
        <f>53325.558+1.355</f>
        <v>53326.913</v>
      </c>
      <c r="G63" s="20">
        <f t="shared" si="0"/>
        <v>53.4534876515496</v>
      </c>
      <c r="H63" s="20">
        <f t="shared" si="1"/>
        <v>78.93763042189921</v>
      </c>
      <c r="I63" s="63"/>
    </row>
    <row r="64" spans="1:9" s="3" customFormat="1" ht="17.25" customHeight="1">
      <c r="A64" s="21" t="s">
        <v>23</v>
      </c>
      <c r="B64" s="22">
        <f>SUM(B65)</f>
        <v>83300.756</v>
      </c>
      <c r="C64" s="22">
        <f>SUM(C65)</f>
        <v>0</v>
      </c>
      <c r="D64" s="22">
        <f>SUM(D65)</f>
        <v>0</v>
      </c>
      <c r="E64" s="22">
        <f>SUM(E65)</f>
        <v>34974.13</v>
      </c>
      <c r="F64" s="22">
        <f>SUM(F65)</f>
        <v>20714.657</v>
      </c>
      <c r="G64" s="19">
        <f t="shared" si="0"/>
        <v>24.867309727657215</v>
      </c>
      <c r="H64" s="19">
        <f t="shared" si="1"/>
        <v>59.2285126177549</v>
      </c>
      <c r="I64" s="63"/>
    </row>
    <row r="65" spans="1:9" s="3" customFormat="1" ht="15">
      <c r="A65" s="30" t="s">
        <v>14</v>
      </c>
      <c r="B65" s="25">
        <f>19538.959+63761.797</f>
        <v>83300.756</v>
      </c>
      <c r="C65" s="25"/>
      <c r="D65" s="25"/>
      <c r="E65" s="25">
        <f>5348.842+29625.288</f>
        <v>34974.13</v>
      </c>
      <c r="F65" s="25">
        <f>20711.396+3.261</f>
        <v>20714.657</v>
      </c>
      <c r="G65" s="20">
        <f t="shared" si="0"/>
        <v>24.867309727657215</v>
      </c>
      <c r="H65" s="20">
        <f t="shared" si="1"/>
        <v>59.2285126177549</v>
      </c>
      <c r="I65" s="63"/>
    </row>
    <row r="66" spans="1:9" s="3" customFormat="1" ht="15" customHeight="1">
      <c r="A66" s="23" t="s">
        <v>18</v>
      </c>
      <c r="B66" s="22">
        <f>SUM(B67:B68)</f>
        <v>152245.844</v>
      </c>
      <c r="C66" s="22">
        <f>SUM(C67:C68)</f>
        <v>3000</v>
      </c>
      <c r="D66" s="22">
        <f>SUM(D67:D68)</f>
        <v>0</v>
      </c>
      <c r="E66" s="22">
        <f>SUM(E67:E68)</f>
        <v>111177.268</v>
      </c>
      <c r="F66" s="22">
        <f>SUM(F67:F68)</f>
        <v>103870.236</v>
      </c>
      <c r="G66" s="19">
        <f t="shared" si="0"/>
        <v>68.22533428235978</v>
      </c>
      <c r="H66" s="19">
        <f t="shared" si="1"/>
        <v>93.42758449506063</v>
      </c>
      <c r="I66" s="63"/>
    </row>
    <row r="67" spans="1:9" s="3" customFormat="1" ht="15">
      <c r="A67" s="30" t="s">
        <v>13</v>
      </c>
      <c r="B67" s="25">
        <v>59582.369</v>
      </c>
      <c r="C67" s="25">
        <v>3000</v>
      </c>
      <c r="D67" s="25"/>
      <c r="E67" s="25">
        <v>46881.144</v>
      </c>
      <c r="F67" s="25">
        <v>46437.301</v>
      </c>
      <c r="G67" s="20">
        <f t="shared" si="0"/>
        <v>77.93799034744657</v>
      </c>
      <c r="H67" s="20">
        <f t="shared" si="1"/>
        <v>99.05325902456646</v>
      </c>
      <c r="I67" s="63"/>
    </row>
    <row r="68" spans="1:9" s="3" customFormat="1" ht="15">
      <c r="A68" s="30" t="s">
        <v>14</v>
      </c>
      <c r="B68" s="25">
        <f>40309.086+52354.389</f>
        <v>92663.475</v>
      </c>
      <c r="C68" s="25"/>
      <c r="D68" s="25"/>
      <c r="E68" s="25">
        <f>22803.668+41492.456</f>
        <v>64296.123999999996</v>
      </c>
      <c r="F68" s="25">
        <v>57432.935</v>
      </c>
      <c r="G68" s="20">
        <f t="shared" si="0"/>
        <v>61.980122157085084</v>
      </c>
      <c r="H68" s="20">
        <f t="shared" si="1"/>
        <v>89.32565670677131</v>
      </c>
      <c r="I68" s="63"/>
    </row>
    <row r="69" spans="1:9" s="3" customFormat="1" ht="46.5" customHeight="1">
      <c r="A69" s="24" t="s">
        <v>22</v>
      </c>
      <c r="B69" s="22">
        <f>SUM(B70:B70)</f>
        <v>46206</v>
      </c>
      <c r="C69" s="22">
        <f>SUM(C70:C70)</f>
        <v>0</v>
      </c>
      <c r="D69" s="22">
        <f>SUM(D70:D70)</f>
        <v>0</v>
      </c>
      <c r="E69" s="22">
        <f>SUM(E70:E70)</f>
        <v>27422.15</v>
      </c>
      <c r="F69" s="22">
        <f>SUM(F70:F70)</f>
        <v>26672.65</v>
      </c>
      <c r="G69" s="19">
        <f t="shared" si="0"/>
        <v>57.7255118382894</v>
      </c>
      <c r="H69" s="19">
        <f t="shared" si="1"/>
        <v>97.26680803656897</v>
      </c>
      <c r="I69" s="63"/>
    </row>
    <row r="70" spans="1:9" s="3" customFormat="1" ht="15">
      <c r="A70" s="30" t="s">
        <v>14</v>
      </c>
      <c r="B70" s="25">
        <f>12870+33336</f>
        <v>46206</v>
      </c>
      <c r="C70" s="25"/>
      <c r="D70" s="25"/>
      <c r="E70" s="25">
        <f>16102.15+11320</f>
        <v>27422.15</v>
      </c>
      <c r="F70" s="25">
        <v>26672.65</v>
      </c>
      <c r="G70" s="20">
        <f t="shared" si="0"/>
        <v>57.7255118382894</v>
      </c>
      <c r="H70" s="20">
        <f t="shared" si="1"/>
        <v>97.26680803656897</v>
      </c>
      <c r="I70" s="63"/>
    </row>
    <row r="71" spans="1:9" s="3" customFormat="1" ht="42.75">
      <c r="A71" s="23" t="s">
        <v>10</v>
      </c>
      <c r="B71" s="18">
        <f>SUM(B72)+B75</f>
        <v>6808.700000000001</v>
      </c>
      <c r="C71" s="18">
        <f>SUM(C72)+C75</f>
        <v>0</v>
      </c>
      <c r="D71" s="18">
        <f>SUM(D72)+D75</f>
        <v>0</v>
      </c>
      <c r="E71" s="18">
        <f>SUM(E72)+E75</f>
        <v>4164.364</v>
      </c>
      <c r="F71" s="18">
        <f>SUM(F72)+F75</f>
        <v>3851.375</v>
      </c>
      <c r="G71" s="19">
        <f t="shared" si="0"/>
        <v>56.565497084612325</v>
      </c>
      <c r="H71" s="19">
        <f t="shared" si="1"/>
        <v>92.48411041878184</v>
      </c>
      <c r="I71" s="63"/>
    </row>
    <row r="72" spans="1:9" s="3" customFormat="1" ht="15">
      <c r="A72" s="30" t="s">
        <v>33</v>
      </c>
      <c r="B72" s="25">
        <v>5036.657</v>
      </c>
      <c r="C72" s="25"/>
      <c r="D72" s="25"/>
      <c r="E72" s="25">
        <v>4092.321</v>
      </c>
      <c r="F72" s="25">
        <v>3851.375</v>
      </c>
      <c r="G72" s="20">
        <f>SUM(F72)/B72*100</f>
        <v>76.46689063797673</v>
      </c>
      <c r="H72" s="20">
        <f>SUM(F72)/E72*100</f>
        <v>94.11224095079541</v>
      </c>
      <c r="I72" s="63"/>
    </row>
    <row r="73" spans="1:9" s="3" customFormat="1" ht="15">
      <c r="A73" s="12" t="s">
        <v>31</v>
      </c>
      <c r="B73" s="11">
        <v>6.072</v>
      </c>
      <c r="C73" s="11"/>
      <c r="D73" s="11"/>
      <c r="E73" s="11">
        <v>4.672</v>
      </c>
      <c r="F73" s="11">
        <v>1.49</v>
      </c>
      <c r="G73" s="20">
        <f t="shared" si="0"/>
        <v>24.538866930171277</v>
      </c>
      <c r="H73" s="20">
        <f t="shared" si="1"/>
        <v>31.892123287671236</v>
      </c>
      <c r="I73" s="63"/>
    </row>
    <row r="74" spans="1:9" s="3" customFormat="1" ht="15">
      <c r="A74" s="12" t="s">
        <v>13</v>
      </c>
      <c r="B74" s="11">
        <f>SUM(B71)-B73</f>
        <v>6802.628000000001</v>
      </c>
      <c r="C74" s="11"/>
      <c r="D74" s="11"/>
      <c r="E74" s="11">
        <f>SUM(E71)-E73</f>
        <v>4159.692</v>
      </c>
      <c r="F74" s="11">
        <f>SUM(F71)-F73</f>
        <v>3849.885</v>
      </c>
      <c r="G74" s="20">
        <f aca="true" t="shared" si="2" ref="G74:G92">SUM(F74)/B74*100</f>
        <v>56.59408393344454</v>
      </c>
      <c r="H74" s="20">
        <f aca="true" t="shared" si="3" ref="H74:H92">SUM(F74)/E74*100</f>
        <v>92.55216491990272</v>
      </c>
      <c r="I74" s="63"/>
    </row>
    <row r="75" spans="1:9" s="3" customFormat="1" ht="15">
      <c r="A75" s="30" t="s">
        <v>14</v>
      </c>
      <c r="B75" s="25">
        <f>1700+72.043</f>
        <v>1772.0430000000001</v>
      </c>
      <c r="C75" s="25"/>
      <c r="D75" s="25"/>
      <c r="E75" s="25">
        <v>72.043</v>
      </c>
      <c r="F75" s="25"/>
      <c r="G75" s="20">
        <f t="shared" si="2"/>
        <v>0</v>
      </c>
      <c r="H75" s="20">
        <f t="shared" si="3"/>
        <v>0</v>
      </c>
      <c r="I75" s="63"/>
    </row>
    <row r="76" spans="1:9" s="3" customFormat="1" ht="15">
      <c r="A76" s="23" t="s">
        <v>11</v>
      </c>
      <c r="B76" s="25">
        <v>2500</v>
      </c>
      <c r="C76" s="25"/>
      <c r="D76" s="25"/>
      <c r="E76" s="25">
        <v>400</v>
      </c>
      <c r="F76" s="25"/>
      <c r="G76" s="19">
        <f t="shared" si="2"/>
        <v>0</v>
      </c>
      <c r="H76" s="19"/>
      <c r="I76" s="63"/>
    </row>
    <row r="77" spans="1:9" s="3" customFormat="1" ht="15">
      <c r="A77" s="23" t="s">
        <v>12</v>
      </c>
      <c r="B77" s="25">
        <v>18418.4</v>
      </c>
      <c r="C77" s="25"/>
      <c r="D77" s="25"/>
      <c r="E77" s="25">
        <v>13814</v>
      </c>
      <c r="F77" s="25">
        <v>13814</v>
      </c>
      <c r="G77" s="19">
        <f t="shared" si="2"/>
        <v>75.00108587065108</v>
      </c>
      <c r="H77" s="19">
        <f t="shared" si="3"/>
        <v>100</v>
      </c>
      <c r="I77" s="63"/>
    </row>
    <row r="78" spans="1:9" s="2" customFormat="1" ht="14.25">
      <c r="A78" s="17" t="s">
        <v>19</v>
      </c>
      <c r="B78" s="18">
        <f>SUM(B79)+B83</f>
        <v>11789.15</v>
      </c>
      <c r="C78" s="18">
        <f>SUM(C79)+C83</f>
        <v>0</v>
      </c>
      <c r="D78" s="18">
        <f>SUM(D79)+D83</f>
        <v>0</v>
      </c>
      <c r="E78" s="18">
        <f>SUM(E79)+E83</f>
        <v>6556.817999999999</v>
      </c>
      <c r="F78" s="18">
        <f>SUM(F79)+F83</f>
        <v>4661.46457</v>
      </c>
      <c r="G78" s="19">
        <f t="shared" si="2"/>
        <v>39.54029399914328</v>
      </c>
      <c r="H78" s="19">
        <f t="shared" si="3"/>
        <v>71.09339575995553</v>
      </c>
      <c r="I78" s="64"/>
    </row>
    <row r="79" spans="1:9" s="2" customFormat="1" ht="15">
      <c r="A79" s="30" t="s">
        <v>33</v>
      </c>
      <c r="B79" s="25">
        <v>8458.756</v>
      </c>
      <c r="C79" s="25"/>
      <c r="D79" s="25"/>
      <c r="E79" s="25">
        <v>3466.424</v>
      </c>
      <c r="F79" s="25">
        <f>2438.14657-565.124</f>
        <v>1873.0225699999999</v>
      </c>
      <c r="G79" s="20">
        <f>SUM(F79)/B79*100</f>
        <v>22.143002706308117</v>
      </c>
      <c r="H79" s="20">
        <f>SUM(F79)/E79*100</f>
        <v>54.03327954110634</v>
      </c>
      <c r="I79" s="64"/>
    </row>
    <row r="80" spans="1:9" s="3" customFormat="1" ht="15">
      <c r="A80" s="12" t="s">
        <v>1</v>
      </c>
      <c r="B80" s="11">
        <v>98.3</v>
      </c>
      <c r="C80" s="11"/>
      <c r="D80" s="11"/>
      <c r="E80" s="11">
        <v>98.3</v>
      </c>
      <c r="F80" s="11">
        <v>77.317</v>
      </c>
      <c r="G80" s="20">
        <f t="shared" si="2"/>
        <v>78.65412004069175</v>
      </c>
      <c r="H80" s="20">
        <f t="shared" si="3"/>
        <v>78.65412004069175</v>
      </c>
      <c r="I80" s="63"/>
    </row>
    <row r="81" spans="1:9" s="3" customFormat="1" ht="15">
      <c r="A81" s="12" t="s">
        <v>29</v>
      </c>
      <c r="B81" s="11">
        <v>33.7</v>
      </c>
      <c r="C81" s="11"/>
      <c r="D81" s="11"/>
      <c r="E81" s="11">
        <v>33.7</v>
      </c>
      <c r="F81" s="11">
        <v>26.829</v>
      </c>
      <c r="G81" s="20">
        <f t="shared" si="2"/>
        <v>79.61127596439168</v>
      </c>
      <c r="H81" s="20">
        <f t="shared" si="3"/>
        <v>79.61127596439168</v>
      </c>
      <c r="I81" s="63"/>
    </row>
    <row r="82" spans="1:9" s="3" customFormat="1" ht="15">
      <c r="A82" s="12" t="s">
        <v>13</v>
      </c>
      <c r="B82" s="11">
        <f>SUM(B79)-B80-B81</f>
        <v>8326.756</v>
      </c>
      <c r="C82" s="11"/>
      <c r="D82" s="11"/>
      <c r="E82" s="11">
        <v>3326.394</v>
      </c>
      <c r="F82" s="11">
        <f>SUM(F79)-F80-F81</f>
        <v>1768.87657</v>
      </c>
      <c r="G82" s="20">
        <f t="shared" si="2"/>
        <v>21.243285740569316</v>
      </c>
      <c r="H82" s="20">
        <f t="shared" si="3"/>
        <v>53.177000980641495</v>
      </c>
      <c r="I82" s="63"/>
    </row>
    <row r="83" spans="1:9" s="3" customFormat="1" ht="15">
      <c r="A83" s="30" t="s">
        <v>14</v>
      </c>
      <c r="B83" s="25">
        <f>3566.394-236</f>
        <v>3330.394</v>
      </c>
      <c r="C83" s="25"/>
      <c r="D83" s="25"/>
      <c r="E83" s="25">
        <f>3090.394</f>
        <v>3090.394</v>
      </c>
      <c r="F83" s="25">
        <v>2788.442</v>
      </c>
      <c r="G83" s="20">
        <f t="shared" si="2"/>
        <v>83.72709054844563</v>
      </c>
      <c r="H83" s="20">
        <f t="shared" si="3"/>
        <v>90.22933645353959</v>
      </c>
      <c r="I83" s="63"/>
    </row>
    <row r="84" spans="1:9" s="3" customFormat="1" ht="40.5">
      <c r="A84" s="26" t="s">
        <v>25</v>
      </c>
      <c r="B84" s="18">
        <f>2159.137+16186.092</f>
        <v>18345.229</v>
      </c>
      <c r="C84" s="18">
        <f>5000+35.555</f>
        <v>5035.555</v>
      </c>
      <c r="D84" s="18"/>
      <c r="E84" s="18">
        <f>2159.137+11186.092</f>
        <v>13345.229000000001</v>
      </c>
      <c r="F84" s="18">
        <f>11186.092+1957.802</f>
        <v>13143.894</v>
      </c>
      <c r="G84" s="19">
        <f t="shared" si="2"/>
        <v>71.64747848064475</v>
      </c>
      <c r="H84" s="19">
        <f t="shared" si="3"/>
        <v>98.4913334945395</v>
      </c>
      <c r="I84" s="63"/>
    </row>
    <row r="85" spans="1:15" s="9" customFormat="1" ht="15.75">
      <c r="A85" s="27" t="s">
        <v>27</v>
      </c>
      <c r="B85" s="28">
        <f>B5+B14+B23+B36+B43+B50+B57+B64+B66+B69+B71+B76+B77+B78+B84</f>
        <v>2525046.178</v>
      </c>
      <c r="C85" s="28">
        <f>C5+C14+C23+C36+C43+C50+C57+C64+C66+C69+C71+C76+C77+C78+C84</f>
        <v>49649.155</v>
      </c>
      <c r="D85" s="28">
        <f>D5+D14+D23+D36+D43+D50+D57+D64+D66+D69+D71+D76+D77+D78+D84</f>
        <v>21126.800000000003</v>
      </c>
      <c r="E85" s="28">
        <f>E5+E14+E23+E36+E43+E50+E57+E64+E66+E69+E71+E76+E77+E78+E84</f>
        <v>1675637.7969999998</v>
      </c>
      <c r="F85" s="28">
        <f>F5+F14+F23+F36+F43+F50+F57+F64+F66+F69+F71+F76+F77+F78+F84</f>
        <v>1547003.71957</v>
      </c>
      <c r="G85" s="19">
        <f t="shared" si="2"/>
        <v>61.266353583890776</v>
      </c>
      <c r="H85" s="19">
        <f t="shared" si="3"/>
        <v>92.32327668543276</v>
      </c>
      <c r="I85" s="66"/>
      <c r="J85" s="5"/>
      <c r="K85" s="6"/>
      <c r="L85" s="5"/>
      <c r="M85" s="7"/>
      <c r="N85" s="8"/>
      <c r="O85" s="8"/>
    </row>
    <row r="86" spans="1:15" s="9" customFormat="1" ht="15.75">
      <c r="A86" s="17" t="s">
        <v>33</v>
      </c>
      <c r="B86" s="28">
        <f>B6+B15+B24+B37+B44+B51+B58+B67+B72+B79+B77</f>
        <v>2091339.4470000002</v>
      </c>
      <c r="C86" s="28">
        <f>C6+C15+C24+C37+C44+C51+C58+C67+C72+C79+C77</f>
        <v>44613.6</v>
      </c>
      <c r="D86" s="28">
        <f>D6+D15+D24+D37+D44+D51+D58+D67+D72+D79+D77</f>
        <v>21126.800000000003</v>
      </c>
      <c r="E86" s="28">
        <f>E6+E15+E24+E37+E44+E51+E58+E67+E72+E79+E77</f>
        <v>1404504.4670000004</v>
      </c>
      <c r="F86" s="28">
        <f>F6+F15+F24+F37+F44+F51+F58+F67+F72+F79+F77</f>
        <v>1328055.88557</v>
      </c>
      <c r="G86" s="19">
        <f>SUM(F86)/B86*100</f>
        <v>63.5026459944166</v>
      </c>
      <c r="H86" s="19">
        <f>SUM(F86)/E86*100</f>
        <v>94.55690008638467</v>
      </c>
      <c r="I86" s="66"/>
      <c r="J86" s="5"/>
      <c r="K86" s="6"/>
      <c r="L86" s="5"/>
      <c r="M86" s="7"/>
      <c r="N86" s="8"/>
      <c r="O86" s="8"/>
    </row>
    <row r="87" spans="1:9" s="4" customFormat="1" ht="15">
      <c r="A87" s="29" t="s">
        <v>1</v>
      </c>
      <c r="B87" s="22">
        <f aca="true" t="shared" si="4" ref="B87:F88">B7+B16+B25+B38+B45+B52+B59+B80</f>
        <v>558028.6220000001</v>
      </c>
      <c r="C87" s="22">
        <f>C7+C16+C25+C38+C45+C52+C59+C80</f>
        <v>26978.980000000003</v>
      </c>
      <c r="D87" s="22">
        <f>D7+D16+D25+D38+D45+D52+D59+D80</f>
        <v>13507.407</v>
      </c>
      <c r="E87" s="22">
        <f t="shared" si="4"/>
        <v>407406.111</v>
      </c>
      <c r="F87" s="22">
        <f t="shared" si="4"/>
        <v>394466.3059999999</v>
      </c>
      <c r="G87" s="19">
        <f t="shared" si="2"/>
        <v>70.68926045159021</v>
      </c>
      <c r="H87" s="19">
        <f t="shared" si="3"/>
        <v>96.82385593867538</v>
      </c>
      <c r="I87" s="67"/>
    </row>
    <row r="88" spans="1:8" ht="15">
      <c r="A88" s="29" t="s">
        <v>30</v>
      </c>
      <c r="B88" s="22">
        <f t="shared" si="4"/>
        <v>202075.92700000005</v>
      </c>
      <c r="C88" s="22">
        <f>C8+C17+C26+C39+C46+C53+C60+C81</f>
        <v>9062.296999999999</v>
      </c>
      <c r="D88" s="22">
        <f>D8+D17+D26+D39+D46+D53+D60+D81</f>
        <v>5180.983</v>
      </c>
      <c r="E88" s="22">
        <f t="shared" si="4"/>
        <v>147278</v>
      </c>
      <c r="F88" s="22">
        <f t="shared" si="4"/>
        <v>142963.15100000004</v>
      </c>
      <c r="G88" s="19">
        <f t="shared" si="2"/>
        <v>70.74724492046992</v>
      </c>
      <c r="H88" s="19">
        <f t="shared" si="3"/>
        <v>97.0702691508576</v>
      </c>
    </row>
    <row r="89" spans="1:8" ht="15">
      <c r="A89" s="29" t="s">
        <v>2</v>
      </c>
      <c r="B89" s="22">
        <f>B73+B11+B20+B29+B40+B47+B54+B61</f>
        <v>138944.103</v>
      </c>
      <c r="C89" s="22">
        <f>C73+C11+C20+C29+C40+C47+C54+C61</f>
        <v>0</v>
      </c>
      <c r="D89" s="22">
        <f>D73+D11+D20+D29+D40+D47+D54+D61</f>
        <v>0</v>
      </c>
      <c r="E89" s="22">
        <f>E73+E11+E20+E29+E40+E47+E54+E61</f>
        <v>87219.43699999999</v>
      </c>
      <c r="F89" s="22">
        <f>F73+F11+F20+F29+F40+F47+F54+F61</f>
        <v>73514.04699999999</v>
      </c>
      <c r="G89" s="19">
        <f t="shared" si="2"/>
        <v>52.90908027957112</v>
      </c>
      <c r="H89" s="19">
        <f t="shared" si="3"/>
        <v>84.28631223565453</v>
      </c>
    </row>
    <row r="90" spans="1:8" ht="15">
      <c r="A90" s="29" t="s">
        <v>13</v>
      </c>
      <c r="B90" s="22">
        <f>B86-B87-B88-B89</f>
        <v>1192290.795</v>
      </c>
      <c r="C90" s="22">
        <f>C86-C87-C88-C89</f>
        <v>8572.322999999997</v>
      </c>
      <c r="D90" s="22">
        <f>D86-D87-D88-D89</f>
        <v>2438.4100000000035</v>
      </c>
      <c r="E90" s="22">
        <f>E86-E87-E88-E89</f>
        <v>762600.9190000003</v>
      </c>
      <c r="F90" s="22">
        <f>F86-F87-F88-F89</f>
        <v>717112.38157</v>
      </c>
      <c r="G90" s="19">
        <f t="shared" si="2"/>
        <v>60.14576180385591</v>
      </c>
      <c r="H90" s="19">
        <f t="shared" si="3"/>
        <v>94.03507964694698</v>
      </c>
    </row>
    <row r="91" spans="1:8" ht="15">
      <c r="A91" s="17" t="s">
        <v>14</v>
      </c>
      <c r="B91" s="18">
        <f>B13+B22+B42+B34+B56+B63+B65+B68+B70+B75+B83+B49</f>
        <v>412861.50200000004</v>
      </c>
      <c r="C91" s="18">
        <f>C13+C22+C42+C34+C56+C63+C65+C68+C70+C75+C83+C49</f>
        <v>0</v>
      </c>
      <c r="D91" s="18">
        <f>D13+D22+D42+D34+D56+D63+D65+D68+D70+D75+D83+D49</f>
        <v>0</v>
      </c>
      <c r="E91" s="18">
        <f>E13+E22+E42+E34+E56+E63+E65+E68+E70+E75+E83+E49</f>
        <v>257388.10099999997</v>
      </c>
      <c r="F91" s="18">
        <f>F13+F22+F42+F34+F56+F63+F65+F68+F70+F75+F83+F49</f>
        <v>205803.94</v>
      </c>
      <c r="G91" s="19">
        <f t="shared" si="2"/>
        <v>49.848178869435976</v>
      </c>
      <c r="H91" s="19">
        <f t="shared" si="3"/>
        <v>79.9586069443047</v>
      </c>
    </row>
    <row r="92" spans="1:8" ht="15">
      <c r="A92" s="17" t="s">
        <v>26</v>
      </c>
      <c r="B92" s="18">
        <f>SUM(B84)</f>
        <v>18345.229</v>
      </c>
      <c r="C92" s="18">
        <f>SUM(C84)</f>
        <v>5035.555</v>
      </c>
      <c r="D92" s="18">
        <f>SUM(D84)</f>
        <v>0</v>
      </c>
      <c r="E92" s="18">
        <f>SUM(E84)</f>
        <v>13345.229000000001</v>
      </c>
      <c r="F92" s="18">
        <f>SUM(F84)</f>
        <v>13143.894</v>
      </c>
      <c r="G92" s="19">
        <f t="shared" si="2"/>
        <v>71.64747848064475</v>
      </c>
      <c r="H92" s="19">
        <f t="shared" si="3"/>
        <v>98.4913334945395</v>
      </c>
    </row>
    <row r="93" spans="1:8" ht="15">
      <c r="A93" s="17" t="s">
        <v>32</v>
      </c>
      <c r="B93" s="18">
        <f>SUM(B76)</f>
        <v>2500</v>
      </c>
      <c r="C93" s="18">
        <f>SUM(C76)</f>
        <v>0</v>
      </c>
      <c r="D93" s="18">
        <f>SUM(D76)</f>
        <v>0</v>
      </c>
      <c r="E93" s="18">
        <f>SUM(E76)</f>
        <v>400</v>
      </c>
      <c r="F93" s="18"/>
      <c r="G93" s="19"/>
      <c r="H93" s="19"/>
    </row>
    <row r="95" spans="2:6" ht="15">
      <c r="B95" s="57"/>
      <c r="C95" s="57"/>
      <c r="D95" s="57"/>
      <c r="E95" s="57"/>
      <c r="F95" s="68"/>
    </row>
    <row r="96" spans="2:6" ht="15">
      <c r="B96" s="57"/>
      <c r="C96" s="57"/>
      <c r="D96" s="57"/>
      <c r="E96" s="57"/>
      <c r="F96" s="60"/>
    </row>
    <row r="97" spans="2:6" ht="15">
      <c r="B97" s="58"/>
      <c r="C97" s="58"/>
      <c r="D97" s="58"/>
      <c r="E97" s="58"/>
      <c r="F97" s="59"/>
    </row>
    <row r="98" ht="15">
      <c r="F98" s="57"/>
    </row>
    <row r="99" spans="2:4" ht="15">
      <c r="B99" s="58"/>
      <c r="C99" s="58"/>
      <c r="D99" s="58"/>
    </row>
    <row r="100" ht="15">
      <c r="F100" s="58"/>
    </row>
  </sheetData>
  <sheetProtection/>
  <mergeCells count="8">
    <mergeCell ref="A3:A4"/>
    <mergeCell ref="B3:B4"/>
    <mergeCell ref="E3:E4"/>
    <mergeCell ref="A1:H1"/>
    <mergeCell ref="H3:H4"/>
    <mergeCell ref="G3:G4"/>
    <mergeCell ref="F3:F4"/>
    <mergeCell ref="C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tabSelected="1" zoomScalePageLayoutView="0" workbookViewId="0" topLeftCell="A79">
      <selection activeCell="C11" sqref="C11"/>
    </sheetView>
  </sheetViews>
  <sheetFormatPr defaultColWidth="9.140625" defaultRowHeight="15"/>
  <cols>
    <col min="1" max="1" width="36.140625" style="50" customWidth="1"/>
    <col min="2" max="2" width="17.28125" style="50" customWidth="1"/>
    <col min="3" max="3" width="21.421875" style="50" customWidth="1"/>
    <col min="4" max="4" width="23.00390625" style="56" customWidth="1"/>
    <col min="5" max="5" width="17.28125" style="50" customWidth="1"/>
    <col min="6" max="7" width="15.8515625" style="50" customWidth="1"/>
    <col min="8" max="8" width="15.140625" style="50" customWidth="1"/>
    <col min="9" max="16384" width="9.140625" style="50" customWidth="1"/>
  </cols>
  <sheetData>
    <row r="1" spans="1:8" s="31" customFormat="1" ht="34.5" customHeight="1">
      <c r="A1" s="77" t="s">
        <v>74</v>
      </c>
      <c r="B1" s="77"/>
      <c r="C1" s="77"/>
      <c r="D1" s="77"/>
      <c r="E1" s="77"/>
      <c r="F1" s="77"/>
      <c r="G1" s="77"/>
      <c r="H1" s="77"/>
    </row>
    <row r="2" spans="1:8" s="31" customFormat="1" ht="12.75" customHeight="1">
      <c r="A2" s="32"/>
      <c r="B2" s="32"/>
      <c r="C2" s="32"/>
      <c r="D2" s="15"/>
      <c r="E2" s="32"/>
      <c r="F2" s="32"/>
      <c r="G2" s="32"/>
      <c r="H2" s="33"/>
    </row>
    <row r="3" spans="1:8" s="31" customFormat="1" ht="41.25" customHeight="1">
      <c r="A3" s="74"/>
      <c r="B3" s="74" t="s">
        <v>35</v>
      </c>
      <c r="C3" s="75" t="s">
        <v>81</v>
      </c>
      <c r="D3" s="76"/>
      <c r="E3" s="74" t="s">
        <v>72</v>
      </c>
      <c r="F3" s="74" t="s">
        <v>75</v>
      </c>
      <c r="G3" s="74" t="s">
        <v>36</v>
      </c>
      <c r="H3" s="74" t="s">
        <v>37</v>
      </c>
    </row>
    <row r="4" spans="1:8" s="31" customFormat="1" ht="111.75" customHeight="1">
      <c r="A4" s="74"/>
      <c r="B4" s="74"/>
      <c r="C4" s="69" t="s">
        <v>77</v>
      </c>
      <c r="D4" s="71" t="s">
        <v>82</v>
      </c>
      <c r="E4" s="74"/>
      <c r="F4" s="74"/>
      <c r="G4" s="74"/>
      <c r="H4" s="74"/>
    </row>
    <row r="5" spans="1:9" s="36" customFormat="1" ht="14.25">
      <c r="A5" s="34" t="s">
        <v>38</v>
      </c>
      <c r="B5" s="18">
        <f>B6+B13</f>
        <v>595828.484</v>
      </c>
      <c r="C5" s="18">
        <f>C6+C13</f>
        <v>22590.3</v>
      </c>
      <c r="D5" s="18">
        <f>D6+D13</f>
        <v>10913.1</v>
      </c>
      <c r="E5" s="18">
        <f>E6+E13</f>
        <v>418440.697</v>
      </c>
      <c r="F5" s="18">
        <f>F6+F13</f>
        <v>394532.823</v>
      </c>
      <c r="G5" s="19">
        <f>SUM(F5)/B5*100</f>
        <v>66.21583787860668</v>
      </c>
      <c r="H5" s="19">
        <f>SUM(F5)/E5*100</f>
        <v>94.28643672295574</v>
      </c>
      <c r="I5" s="35"/>
    </row>
    <row r="6" spans="1:8" s="38" customFormat="1" ht="15">
      <c r="A6" s="37" t="s">
        <v>39</v>
      </c>
      <c r="B6" s="52">
        <v>562310.395</v>
      </c>
      <c r="C6" s="52">
        <v>22590.3</v>
      </c>
      <c r="D6" s="52">
        <v>10913.1</v>
      </c>
      <c r="E6" s="25">
        <v>398505.806</v>
      </c>
      <c r="F6" s="25">
        <v>375753.057</v>
      </c>
      <c r="G6" s="20">
        <f>SUM(F6)/B6*100</f>
        <v>66.8230678893994</v>
      </c>
      <c r="H6" s="20">
        <f>SUM(F6)/E6*100</f>
        <v>94.2904849421441</v>
      </c>
    </row>
    <row r="7" spans="1:8" s="38" customFormat="1" ht="15">
      <c r="A7" s="39" t="s">
        <v>40</v>
      </c>
      <c r="B7" s="11">
        <v>312527.163</v>
      </c>
      <c r="C7" s="11">
        <v>16552.257</v>
      </c>
      <c r="D7" s="11">
        <v>8006.676</v>
      </c>
      <c r="E7" s="11">
        <v>229376.833</v>
      </c>
      <c r="F7" s="11">
        <v>221465.585</v>
      </c>
      <c r="G7" s="20">
        <f aca="true" t="shared" si="0" ref="G7:G73">SUM(F7)/B7*100</f>
        <v>70.86282768963669</v>
      </c>
      <c r="H7" s="20">
        <f aca="true" t="shared" si="1" ref="H7:H73">SUM(F7)/E7*100</f>
        <v>96.55098211247864</v>
      </c>
    </row>
    <row r="8" spans="1:8" s="38" customFormat="1" ht="15">
      <c r="A8" s="39" t="s">
        <v>41</v>
      </c>
      <c r="B8" s="11">
        <v>113569.19</v>
      </c>
      <c r="C8" s="11">
        <v>6008.47</v>
      </c>
      <c r="D8" s="11">
        <v>2906.424</v>
      </c>
      <c r="E8" s="11">
        <v>82833.221</v>
      </c>
      <c r="F8" s="11">
        <v>80994.281</v>
      </c>
      <c r="G8" s="20">
        <f t="shared" si="0"/>
        <v>71.31712482936614</v>
      </c>
      <c r="H8" s="20">
        <f t="shared" si="1"/>
        <v>97.77994869956825</v>
      </c>
    </row>
    <row r="9" spans="1:8" s="38" customFormat="1" ht="15">
      <c r="A9" s="39" t="s">
        <v>42</v>
      </c>
      <c r="B9" s="11">
        <v>73.087</v>
      </c>
      <c r="C9" s="11"/>
      <c r="D9" s="11"/>
      <c r="E9" s="11">
        <v>73.087</v>
      </c>
      <c r="F9" s="11">
        <f>66.723+0.256</f>
        <v>66.979</v>
      </c>
      <c r="G9" s="20">
        <f t="shared" si="0"/>
        <v>91.64283661937142</v>
      </c>
      <c r="H9" s="20"/>
    </row>
    <row r="10" spans="1:8" s="38" customFormat="1" ht="15">
      <c r="A10" s="39" t="s">
        <v>43</v>
      </c>
      <c r="B10" s="11">
        <v>33349.211</v>
      </c>
      <c r="C10" s="11"/>
      <c r="D10" s="11"/>
      <c r="E10" s="11">
        <v>19895.691</v>
      </c>
      <c r="F10" s="11">
        <v>18533.343</v>
      </c>
      <c r="G10" s="20">
        <f t="shared" si="0"/>
        <v>55.57355764728587</v>
      </c>
      <c r="H10" s="20">
        <f t="shared" si="1"/>
        <v>93.15254745361698</v>
      </c>
    </row>
    <row r="11" spans="1:8" s="38" customFormat="1" ht="30">
      <c r="A11" s="39" t="s">
        <v>44</v>
      </c>
      <c r="B11" s="11">
        <v>78527.174</v>
      </c>
      <c r="C11" s="11"/>
      <c r="D11" s="11"/>
      <c r="E11" s="11">
        <v>48201.445</v>
      </c>
      <c r="F11" s="11">
        <v>38765.113</v>
      </c>
      <c r="G11" s="20">
        <f t="shared" si="0"/>
        <v>49.365221012537646</v>
      </c>
      <c r="H11" s="20">
        <f t="shared" si="1"/>
        <v>80.42313461764475</v>
      </c>
    </row>
    <row r="12" spans="1:8" s="38" customFormat="1" ht="15">
      <c r="A12" s="39" t="s">
        <v>45</v>
      </c>
      <c r="B12" s="11">
        <f>SUM(B6)-B7-B8-B9-B10-B11</f>
        <v>24264.570000000007</v>
      </c>
      <c r="C12" s="11">
        <f>SUM(C6)-C7-C8-C9-C10-C11</f>
        <v>29.57299999999759</v>
      </c>
      <c r="D12" s="11"/>
      <c r="E12" s="11">
        <f>SUM(E6)-E7-E8-E9-E10-E11</f>
        <v>18125.52899999996</v>
      </c>
      <c r="F12" s="11">
        <f>SUM(F6)-F7-F8-F9-F10-F11</f>
        <v>15927.755999999972</v>
      </c>
      <c r="G12" s="20">
        <f t="shared" si="0"/>
        <v>65.64202868626961</v>
      </c>
      <c r="H12" s="20">
        <f t="shared" si="1"/>
        <v>87.87470975329883</v>
      </c>
    </row>
    <row r="13" spans="1:8" s="38" customFormat="1" ht="15">
      <c r="A13" s="37" t="s">
        <v>46</v>
      </c>
      <c r="B13" s="55">
        <f>16516.755+17001.334</f>
        <v>33518.089</v>
      </c>
      <c r="C13" s="55"/>
      <c r="D13" s="55"/>
      <c r="E13" s="25">
        <f>7805.127+12129.764</f>
        <v>19934.891</v>
      </c>
      <c r="F13" s="25">
        <f>18467.166+312.6</f>
        <v>18779.766</v>
      </c>
      <c r="G13" s="20">
        <f t="shared" si="0"/>
        <v>56.02874913304275</v>
      </c>
      <c r="H13" s="20">
        <f t="shared" si="1"/>
        <v>94.20551133186532</v>
      </c>
    </row>
    <row r="14" spans="1:8" s="36" customFormat="1" ht="14.25">
      <c r="A14" s="34" t="s">
        <v>47</v>
      </c>
      <c r="B14" s="18">
        <f>B15+B22</f>
        <v>373263.95</v>
      </c>
      <c r="C14" s="18">
        <f>C15+C22</f>
        <v>5101.9</v>
      </c>
      <c r="D14" s="18">
        <f>D15+D22</f>
        <v>10213.7</v>
      </c>
      <c r="E14" s="18">
        <f>E15+E22</f>
        <v>276006.615</v>
      </c>
      <c r="F14" s="18">
        <f>F15+F22</f>
        <v>256445.715</v>
      </c>
      <c r="G14" s="19">
        <f t="shared" si="0"/>
        <v>68.70358495643633</v>
      </c>
      <c r="H14" s="19">
        <f t="shared" si="1"/>
        <v>92.91288725090882</v>
      </c>
    </row>
    <row r="15" spans="1:8" s="38" customFormat="1" ht="15">
      <c r="A15" s="37" t="s">
        <v>48</v>
      </c>
      <c r="B15" s="25">
        <f>327910.177+25068</f>
        <v>352978.177</v>
      </c>
      <c r="C15" s="25">
        <v>5101.9</v>
      </c>
      <c r="D15" s="25">
        <v>10213.7</v>
      </c>
      <c r="E15" s="25">
        <f>237788.873+18831.969</f>
        <v>256620.842</v>
      </c>
      <c r="F15" s="25">
        <f>224223.718+18831.969</f>
        <v>243055.687</v>
      </c>
      <c r="G15" s="20">
        <f>SUM(F15)/B15*100</f>
        <v>68.8585592077552</v>
      </c>
      <c r="H15" s="20">
        <f>SUM(F15)/E15*100</f>
        <v>94.7139309129069</v>
      </c>
    </row>
    <row r="16" spans="1:8" s="38" customFormat="1" ht="15">
      <c r="A16" s="39" t="s">
        <v>40</v>
      </c>
      <c r="B16" s="11">
        <v>138388.382</v>
      </c>
      <c r="C16" s="11">
        <v>3384.476</v>
      </c>
      <c r="D16" s="11">
        <v>5500.731</v>
      </c>
      <c r="E16" s="11">
        <v>100774.2</v>
      </c>
      <c r="F16" s="11">
        <v>97639.978</v>
      </c>
      <c r="G16" s="20">
        <f t="shared" si="0"/>
        <v>70.55503980095669</v>
      </c>
      <c r="H16" s="20">
        <f t="shared" si="1"/>
        <v>96.88985672920252</v>
      </c>
    </row>
    <row r="17" spans="1:8" s="38" customFormat="1" ht="15">
      <c r="A17" s="39" t="s">
        <v>41</v>
      </c>
      <c r="B17" s="11">
        <v>49741.847</v>
      </c>
      <c r="C17" s="11">
        <v>499.96</v>
      </c>
      <c r="D17" s="11">
        <v>2274.559</v>
      </c>
      <c r="E17" s="11">
        <v>36406.382</v>
      </c>
      <c r="F17" s="11">
        <v>34668.841</v>
      </c>
      <c r="G17" s="20">
        <f t="shared" si="0"/>
        <v>69.69753455274791</v>
      </c>
      <c r="H17" s="20">
        <f t="shared" si="1"/>
        <v>95.22737249749234</v>
      </c>
    </row>
    <row r="18" spans="1:8" s="38" customFormat="1" ht="15">
      <c r="A18" s="39" t="s">
        <v>42</v>
      </c>
      <c r="B18" s="55">
        <v>11580.27</v>
      </c>
      <c r="C18" s="55"/>
      <c r="D18" s="55"/>
      <c r="E18" s="11">
        <v>9450.709</v>
      </c>
      <c r="F18" s="11">
        <v>8833.344</v>
      </c>
      <c r="G18" s="20">
        <f t="shared" si="0"/>
        <v>76.27925773751389</v>
      </c>
      <c r="H18" s="20">
        <f t="shared" si="1"/>
        <v>93.46752714531786</v>
      </c>
    </row>
    <row r="19" spans="1:8" s="38" customFormat="1" ht="15">
      <c r="A19" s="39" t="s">
        <v>43</v>
      </c>
      <c r="B19" s="11">
        <v>4056.884</v>
      </c>
      <c r="C19" s="11"/>
      <c r="D19" s="11"/>
      <c r="E19" s="11">
        <v>3113.037</v>
      </c>
      <c r="F19" s="11">
        <v>2989.713</v>
      </c>
      <c r="G19" s="20">
        <f t="shared" si="0"/>
        <v>73.69481109146824</v>
      </c>
      <c r="H19" s="20">
        <f t="shared" si="1"/>
        <v>96.0384666163621</v>
      </c>
    </row>
    <row r="20" spans="1:8" s="38" customFormat="1" ht="30">
      <c r="A20" s="39" t="s">
        <v>44</v>
      </c>
      <c r="B20" s="11">
        <v>30224.41</v>
      </c>
      <c r="C20" s="11"/>
      <c r="D20" s="11"/>
      <c r="E20" s="11">
        <v>20047.765</v>
      </c>
      <c r="F20" s="11">
        <v>16873.183</v>
      </c>
      <c r="G20" s="20">
        <f t="shared" si="0"/>
        <v>55.82634367387155</v>
      </c>
      <c r="H20" s="20">
        <f t="shared" si="1"/>
        <v>84.16490815809145</v>
      </c>
    </row>
    <row r="21" spans="1:8" s="38" customFormat="1" ht="15">
      <c r="A21" s="39" t="s">
        <v>45</v>
      </c>
      <c r="B21" s="11">
        <f>SUM(B15)-B16-B17-B18-B19-B20</f>
        <v>118986.38400000002</v>
      </c>
      <c r="C21" s="11">
        <f>SUM(C15)-C16-C17-C18-C19-C20</f>
        <v>1217.4639999999995</v>
      </c>
      <c r="D21" s="11">
        <f>SUM(D15)-D16-D17-D18-D19-D20</f>
        <v>2438.4100000000008</v>
      </c>
      <c r="E21" s="11">
        <f>SUM(E15)-E16-E17-E18-E19-E20</f>
        <v>86828.749</v>
      </c>
      <c r="F21" s="11">
        <f>SUM(F15)-F16-F17-F18-F19-F20</f>
        <v>82050.628</v>
      </c>
      <c r="G21" s="20">
        <f t="shared" si="0"/>
        <v>68.95799774871718</v>
      </c>
      <c r="H21" s="20">
        <f t="shared" si="1"/>
        <v>94.49707492618603</v>
      </c>
    </row>
    <row r="22" spans="1:8" s="38" customFormat="1" ht="15">
      <c r="A22" s="37" t="s">
        <v>46</v>
      </c>
      <c r="B22" s="25">
        <f>11416.945+8868.828</f>
        <v>20285.773</v>
      </c>
      <c r="C22" s="25"/>
      <c r="D22" s="25"/>
      <c r="E22" s="25">
        <f>10516.945+8868.828</f>
        <v>19385.773</v>
      </c>
      <c r="F22" s="25">
        <v>13390.028</v>
      </c>
      <c r="G22" s="20">
        <f t="shared" si="0"/>
        <v>66.00698923329172</v>
      </c>
      <c r="H22" s="20">
        <f t="shared" si="1"/>
        <v>69.07141644545203</v>
      </c>
    </row>
    <row r="23" spans="1:8" s="36" customFormat="1" ht="28.5">
      <c r="A23" s="34" t="s">
        <v>64</v>
      </c>
      <c r="B23" s="18">
        <f>B24+B34</f>
        <v>700089.562</v>
      </c>
      <c r="C23" s="18">
        <f>C24+C34</f>
        <v>1773.3</v>
      </c>
      <c r="D23" s="18">
        <f>D24+D34</f>
        <v>0</v>
      </c>
      <c r="E23" s="18">
        <f>E24+E34</f>
        <v>412000.966</v>
      </c>
      <c r="F23" s="18">
        <f>F24+F34</f>
        <v>396169.105</v>
      </c>
      <c r="G23" s="19">
        <f t="shared" si="0"/>
        <v>56.58834619219761</v>
      </c>
      <c r="H23" s="19">
        <f t="shared" si="1"/>
        <v>96.15732430103088</v>
      </c>
    </row>
    <row r="24" spans="1:8" s="38" customFormat="1" ht="15">
      <c r="A24" s="37" t="s">
        <v>48</v>
      </c>
      <c r="B24" s="25">
        <v>696905.234</v>
      </c>
      <c r="C24" s="25">
        <v>1773.3</v>
      </c>
      <c r="D24" s="25"/>
      <c r="E24" s="25">
        <v>411618.069</v>
      </c>
      <c r="F24" s="25">
        <v>395913.434</v>
      </c>
      <c r="G24" s="20">
        <f>SUM(F24)/B24*100</f>
        <v>56.81022536272127</v>
      </c>
      <c r="H24" s="20">
        <f>SUM(F24)/E24*100</f>
        <v>96.18465850195706</v>
      </c>
    </row>
    <row r="25" spans="1:8" s="38" customFormat="1" ht="15">
      <c r="A25" s="39" t="s">
        <v>40</v>
      </c>
      <c r="B25" s="11">
        <v>11580.045</v>
      </c>
      <c r="C25" s="11">
        <v>1303.275</v>
      </c>
      <c r="D25" s="11"/>
      <c r="E25" s="11">
        <v>8078.96</v>
      </c>
      <c r="F25" s="11">
        <v>8028.425</v>
      </c>
      <c r="G25" s="20">
        <f t="shared" si="0"/>
        <v>69.3298255749438</v>
      </c>
      <c r="H25" s="20">
        <f t="shared" si="1"/>
        <v>99.37448632002139</v>
      </c>
    </row>
    <row r="26" spans="1:8" s="38" customFormat="1" ht="15">
      <c r="A26" s="39" t="s">
        <v>41</v>
      </c>
      <c r="B26" s="11">
        <v>4163.178</v>
      </c>
      <c r="C26" s="11">
        <v>470.025</v>
      </c>
      <c r="D26" s="11"/>
      <c r="E26" s="11">
        <v>2904.25</v>
      </c>
      <c r="F26" s="11">
        <v>2890.527</v>
      </c>
      <c r="G26" s="20">
        <f t="shared" si="0"/>
        <v>69.4307810043193</v>
      </c>
      <c r="H26" s="20">
        <f t="shared" si="1"/>
        <v>99.52748558147543</v>
      </c>
    </row>
    <row r="27" spans="1:8" s="38" customFormat="1" ht="15">
      <c r="A27" s="39" t="s">
        <v>42</v>
      </c>
      <c r="B27" s="11">
        <v>77.62</v>
      </c>
      <c r="C27" s="11"/>
      <c r="D27" s="11"/>
      <c r="E27" s="11">
        <v>73.9</v>
      </c>
      <c r="F27" s="11">
        <v>67.28</v>
      </c>
      <c r="G27" s="20">
        <f t="shared" si="0"/>
        <v>86.6786910590054</v>
      </c>
      <c r="H27" s="20">
        <f t="shared" si="1"/>
        <v>91.04194857916103</v>
      </c>
    </row>
    <row r="28" spans="1:8" s="38" customFormat="1" ht="15">
      <c r="A28" s="39" t="s">
        <v>43</v>
      </c>
      <c r="B28" s="11">
        <v>138.829</v>
      </c>
      <c r="C28" s="11"/>
      <c r="D28" s="11"/>
      <c r="E28" s="11">
        <v>113.42</v>
      </c>
      <c r="F28" s="11">
        <v>113.42</v>
      </c>
      <c r="G28" s="20">
        <f t="shared" si="0"/>
        <v>81.69762801720101</v>
      </c>
      <c r="H28" s="20">
        <f t="shared" si="1"/>
        <v>100</v>
      </c>
    </row>
    <row r="29" spans="1:8" s="38" customFormat="1" ht="30">
      <c r="A29" s="39" t="s">
        <v>44</v>
      </c>
      <c r="B29" s="11">
        <v>1150.295</v>
      </c>
      <c r="C29" s="11"/>
      <c r="D29" s="11"/>
      <c r="E29" s="11">
        <v>712.204</v>
      </c>
      <c r="F29" s="11">
        <v>652.941</v>
      </c>
      <c r="G29" s="20">
        <f t="shared" si="0"/>
        <v>56.762917338595756</v>
      </c>
      <c r="H29" s="20">
        <f t="shared" si="1"/>
        <v>91.6789290708842</v>
      </c>
    </row>
    <row r="30" spans="1:8" s="38" customFormat="1" ht="15">
      <c r="A30" s="39" t="s">
        <v>45</v>
      </c>
      <c r="B30" s="11">
        <f>SUM(B24)-B25-B26-B27-B28-B29</f>
        <v>679795.267</v>
      </c>
      <c r="C30" s="11"/>
      <c r="D30" s="11"/>
      <c r="E30" s="11">
        <f>SUM(E24)-E25-E26-E27-E28-E29</f>
        <v>399735.33499999996</v>
      </c>
      <c r="F30" s="11">
        <f>SUM(F24)-F25-F26-F27-F28-F29</f>
        <v>384160.841</v>
      </c>
      <c r="G30" s="20">
        <f t="shared" si="0"/>
        <v>56.51125561602358</v>
      </c>
      <c r="H30" s="20">
        <f t="shared" si="1"/>
        <v>96.1037985295946</v>
      </c>
    </row>
    <row r="31" spans="1:8" s="38" customFormat="1" ht="15">
      <c r="A31" s="39" t="s">
        <v>49</v>
      </c>
      <c r="B31" s="11">
        <f>SUM(B32:B33)</f>
        <v>664987.23</v>
      </c>
      <c r="C31" s="11"/>
      <c r="D31" s="11"/>
      <c r="E31" s="11">
        <f>SUM(E32:E33)</f>
        <v>387033.371</v>
      </c>
      <c r="F31" s="11">
        <f>SUM(F32:F33)</f>
        <v>372859.15904</v>
      </c>
      <c r="G31" s="20">
        <f>SUM(F31)/B31*100</f>
        <v>56.0701231871776</v>
      </c>
      <c r="H31" s="20">
        <f>SUM(F31)/E31*100</f>
        <v>96.33772872778972</v>
      </c>
    </row>
    <row r="32" spans="1:8" s="38" customFormat="1" ht="30">
      <c r="A32" s="40" t="s">
        <v>70</v>
      </c>
      <c r="B32" s="11">
        <v>431369.7</v>
      </c>
      <c r="C32" s="11"/>
      <c r="D32" s="11"/>
      <c r="E32" s="11">
        <v>307877.823</v>
      </c>
      <c r="F32" s="11">
        <v>301895.44904</v>
      </c>
      <c r="G32" s="20">
        <f>SUM(F32)/B32*100</f>
        <v>69.98531631683912</v>
      </c>
      <c r="H32" s="20">
        <f>SUM(F32)/E32*100</f>
        <v>98.05690000607807</v>
      </c>
    </row>
    <row r="33" spans="1:8" s="38" customFormat="1" ht="15">
      <c r="A33" s="40" t="s">
        <v>65</v>
      </c>
      <c r="B33" s="11">
        <v>233617.53</v>
      </c>
      <c r="C33" s="11"/>
      <c r="D33" s="11"/>
      <c r="E33" s="11">
        <v>79155.548</v>
      </c>
      <c r="F33" s="11">
        <v>70963.71</v>
      </c>
      <c r="G33" s="20">
        <f>SUM(F33)/B33*100</f>
        <v>30.376021011779386</v>
      </c>
      <c r="H33" s="20">
        <f>SUM(F33)/E33*100</f>
        <v>89.65096167358985</v>
      </c>
    </row>
    <row r="34" spans="1:8" s="38" customFormat="1" ht="15">
      <c r="A34" s="37" t="s">
        <v>46</v>
      </c>
      <c r="B34" s="25">
        <f>2396.328+788</f>
        <v>3184.328</v>
      </c>
      <c r="C34" s="25"/>
      <c r="D34" s="25"/>
      <c r="E34" s="25">
        <f>708-325.103</f>
        <v>382.897</v>
      </c>
      <c r="F34" s="25">
        <v>255.671</v>
      </c>
      <c r="G34" s="20">
        <f>SUM(F34)/B34*100</f>
        <v>8.02904097819069</v>
      </c>
      <c r="H34" s="20">
        <f>SUM(F34)/E34*100</f>
        <v>66.77278745981296</v>
      </c>
    </row>
    <row r="35" spans="1:8" s="38" customFormat="1" ht="15">
      <c r="A35" s="39" t="s">
        <v>69</v>
      </c>
      <c r="B35" s="11">
        <v>156.528</v>
      </c>
      <c r="C35" s="11"/>
      <c r="D35" s="11"/>
      <c r="E35" s="11">
        <v>38.50684</v>
      </c>
      <c r="F35" s="11">
        <v>38.507</v>
      </c>
      <c r="G35" s="20">
        <f>SUM(F35)/B35*100</f>
        <v>24.600710416027805</v>
      </c>
      <c r="H35" s="20">
        <f>SUM(F35)/E35*100</f>
        <v>100.00041551059499</v>
      </c>
    </row>
    <row r="36" spans="1:8" s="36" customFormat="1" ht="14.25">
      <c r="A36" s="34" t="s">
        <v>66</v>
      </c>
      <c r="B36" s="18">
        <f>B37+B42</f>
        <v>96866.24799999999</v>
      </c>
      <c r="C36" s="18">
        <f>C37+C42</f>
        <v>3629.6</v>
      </c>
      <c r="D36" s="18">
        <f>D37+D42</f>
        <v>0</v>
      </c>
      <c r="E36" s="18">
        <f>E37+E42</f>
        <v>67172.789</v>
      </c>
      <c r="F36" s="18">
        <f>F37+F42</f>
        <v>58964.926999999996</v>
      </c>
      <c r="G36" s="19">
        <f t="shared" si="0"/>
        <v>60.872520839250434</v>
      </c>
      <c r="H36" s="19">
        <f t="shared" si="1"/>
        <v>87.78097184560848</v>
      </c>
    </row>
    <row r="37" spans="1:8" s="38" customFormat="1" ht="15">
      <c r="A37" s="37" t="s">
        <v>48</v>
      </c>
      <c r="B37" s="25">
        <v>77949.817</v>
      </c>
      <c r="C37" s="25">
        <v>3629.6</v>
      </c>
      <c r="D37" s="25"/>
      <c r="E37" s="25">
        <v>53956.23</v>
      </c>
      <c r="F37" s="25">
        <v>51816.876</v>
      </c>
      <c r="G37" s="20">
        <f>SUM(F37)/B37*100</f>
        <v>66.47466022915744</v>
      </c>
      <c r="H37" s="20">
        <f>SUM(F37)/E37*100</f>
        <v>96.03501949635842</v>
      </c>
    </row>
    <row r="38" spans="1:8" s="38" customFormat="1" ht="15">
      <c r="A38" s="39" t="s">
        <v>40</v>
      </c>
      <c r="B38" s="11">
        <v>33097.391</v>
      </c>
      <c r="C38" s="11">
        <v>1732.926</v>
      </c>
      <c r="D38" s="11"/>
      <c r="E38" s="11">
        <v>24365.522</v>
      </c>
      <c r="F38" s="11">
        <v>23276.608</v>
      </c>
      <c r="G38" s="20">
        <f t="shared" si="0"/>
        <v>70.32762189623949</v>
      </c>
      <c r="H38" s="20">
        <f t="shared" si="1"/>
        <v>95.53092275223982</v>
      </c>
    </row>
    <row r="39" spans="1:8" s="38" customFormat="1" ht="15">
      <c r="A39" s="39" t="s">
        <v>41</v>
      </c>
      <c r="B39" s="11">
        <v>12086.354</v>
      </c>
      <c r="C39" s="11">
        <v>629.053</v>
      </c>
      <c r="D39" s="11"/>
      <c r="E39" s="11">
        <v>8963.047</v>
      </c>
      <c r="F39" s="11">
        <v>8499.674</v>
      </c>
      <c r="G39" s="20">
        <f t="shared" si="0"/>
        <v>70.32454948779426</v>
      </c>
      <c r="H39" s="20">
        <f t="shared" si="1"/>
        <v>94.83018442277499</v>
      </c>
    </row>
    <row r="40" spans="1:8" s="38" customFormat="1" ht="30">
      <c r="A40" s="39" t="s">
        <v>44</v>
      </c>
      <c r="B40" s="11">
        <v>5631.026</v>
      </c>
      <c r="C40" s="11"/>
      <c r="D40" s="11"/>
      <c r="E40" s="11">
        <v>3048.594</v>
      </c>
      <c r="F40" s="11">
        <v>3005.489</v>
      </c>
      <c r="G40" s="20">
        <f t="shared" si="0"/>
        <v>53.373736864294365</v>
      </c>
      <c r="H40" s="20">
        <f t="shared" si="1"/>
        <v>98.58606951269995</v>
      </c>
    </row>
    <row r="41" spans="1:8" s="38" customFormat="1" ht="15">
      <c r="A41" s="39" t="s">
        <v>45</v>
      </c>
      <c r="B41" s="11">
        <f>SUM(B37)-B38-B39-B40</f>
        <v>27135.045999999995</v>
      </c>
      <c r="C41" s="11">
        <f>SUM(C37)-C38-C39-C40</f>
        <v>1267.621</v>
      </c>
      <c r="D41" s="11"/>
      <c r="E41" s="11">
        <f>SUM(E37)-E38-E39-E40</f>
        <v>17579.067</v>
      </c>
      <c r="F41" s="11">
        <f>SUM(F37)-F38-F39-F40</f>
        <v>17035.104999999996</v>
      </c>
      <c r="G41" s="20">
        <f t="shared" si="0"/>
        <v>62.77897962656853</v>
      </c>
      <c r="H41" s="20">
        <f t="shared" si="1"/>
        <v>96.90562644763796</v>
      </c>
    </row>
    <row r="42" spans="1:8" s="38" customFormat="1" ht="15">
      <c r="A42" s="37" t="s">
        <v>46</v>
      </c>
      <c r="B42" s="25">
        <f>8951+9965.431</f>
        <v>18916.431</v>
      </c>
      <c r="C42" s="25"/>
      <c r="D42" s="25"/>
      <c r="E42" s="25">
        <f>7566.559+5650</f>
        <v>13216.559000000001</v>
      </c>
      <c r="F42" s="25">
        <v>7148.051</v>
      </c>
      <c r="G42" s="20">
        <f t="shared" si="0"/>
        <v>37.787524507133504</v>
      </c>
      <c r="H42" s="20">
        <f t="shared" si="1"/>
        <v>54.0840547074318</v>
      </c>
    </row>
    <row r="43" spans="1:8" s="36" customFormat="1" ht="14.25">
      <c r="A43" s="34" t="s">
        <v>67</v>
      </c>
      <c r="B43" s="18">
        <f>B44+B49</f>
        <v>45876.041</v>
      </c>
      <c r="C43" s="18">
        <f>C44+C49</f>
        <v>2386.2</v>
      </c>
      <c r="D43" s="18">
        <f>D44+D49</f>
        <v>0</v>
      </c>
      <c r="E43" s="18">
        <f>E44+E49</f>
        <v>33024.525</v>
      </c>
      <c r="F43" s="18">
        <f>F44+F49</f>
        <v>30072.6</v>
      </c>
      <c r="G43" s="19">
        <f t="shared" si="0"/>
        <v>65.5518639893098</v>
      </c>
      <c r="H43" s="19">
        <f t="shared" si="1"/>
        <v>91.06141572058947</v>
      </c>
    </row>
    <row r="44" spans="1:8" s="38" customFormat="1" ht="15">
      <c r="A44" s="37" t="s">
        <v>48</v>
      </c>
      <c r="B44" s="25">
        <v>40360.364</v>
      </c>
      <c r="C44" s="25">
        <v>2386.2</v>
      </c>
      <c r="D44" s="25"/>
      <c r="E44" s="25">
        <v>28581.964</v>
      </c>
      <c r="F44" s="25">
        <v>27354.247</v>
      </c>
      <c r="G44" s="20">
        <f>SUM(F44)/B44*100</f>
        <v>67.7750255176093</v>
      </c>
      <c r="H44" s="20">
        <f>SUM(F44)/E44*100</f>
        <v>95.7045743952375</v>
      </c>
    </row>
    <row r="45" spans="1:8" s="38" customFormat="1" ht="15">
      <c r="A45" s="39" t="s">
        <v>40</v>
      </c>
      <c r="B45" s="11">
        <v>20371.66</v>
      </c>
      <c r="C45" s="11">
        <v>1744.646</v>
      </c>
      <c r="D45" s="11"/>
      <c r="E45" s="11">
        <v>14449.278</v>
      </c>
      <c r="F45" s="11">
        <v>14049.472</v>
      </c>
      <c r="G45" s="20">
        <f t="shared" si="0"/>
        <v>68.96576911258092</v>
      </c>
      <c r="H45" s="20">
        <f t="shared" si="1"/>
        <v>97.23303821824176</v>
      </c>
    </row>
    <row r="46" spans="1:8" s="38" customFormat="1" ht="15">
      <c r="A46" s="39" t="s">
        <v>41</v>
      </c>
      <c r="B46" s="11">
        <v>7318.765</v>
      </c>
      <c r="C46" s="11">
        <v>633.889</v>
      </c>
      <c r="D46" s="11"/>
      <c r="E46" s="11">
        <v>5190.711</v>
      </c>
      <c r="F46" s="11">
        <v>5057.314</v>
      </c>
      <c r="G46" s="20">
        <f t="shared" si="0"/>
        <v>69.10064744529986</v>
      </c>
      <c r="H46" s="20">
        <f t="shared" si="1"/>
        <v>97.43008231434962</v>
      </c>
    </row>
    <row r="47" spans="1:8" s="38" customFormat="1" ht="30">
      <c r="A47" s="39" t="s">
        <v>44</v>
      </c>
      <c r="B47" s="11">
        <v>3303.442</v>
      </c>
      <c r="C47" s="11"/>
      <c r="D47" s="11"/>
      <c r="E47" s="11">
        <v>1913.203</v>
      </c>
      <c r="F47" s="11">
        <f>1714.528+10.629</f>
        <v>1725.157</v>
      </c>
      <c r="G47" s="20">
        <f t="shared" si="0"/>
        <v>52.22301466167713</v>
      </c>
      <c r="H47" s="20">
        <f t="shared" si="1"/>
        <v>90.17114231997337</v>
      </c>
    </row>
    <row r="48" spans="1:8" s="38" customFormat="1" ht="15">
      <c r="A48" s="39" t="s">
        <v>45</v>
      </c>
      <c r="B48" s="11">
        <f>SUM(B44)-B45-B46-B47</f>
        <v>9366.497000000003</v>
      </c>
      <c r="C48" s="11">
        <f>SUM(C44)-C45-C46-C47</f>
        <v>7.66499999999985</v>
      </c>
      <c r="D48" s="11"/>
      <c r="E48" s="11">
        <f>SUM(E44)-E45-E46-E47</f>
        <v>7028.771999999999</v>
      </c>
      <c r="F48" s="11">
        <f>SUM(F44)-F45-F46-F47</f>
        <v>6522.303999999999</v>
      </c>
      <c r="G48" s="20">
        <f t="shared" si="0"/>
        <v>69.63440013913416</v>
      </c>
      <c r="H48" s="20">
        <f t="shared" si="1"/>
        <v>92.79436009590295</v>
      </c>
    </row>
    <row r="49" spans="1:8" s="38" customFormat="1" ht="15">
      <c r="A49" s="37" t="s">
        <v>46</v>
      </c>
      <c r="B49" s="25">
        <f>2828.9+2686.777</f>
        <v>5515.677</v>
      </c>
      <c r="C49" s="25"/>
      <c r="D49" s="25"/>
      <c r="E49" s="25">
        <f>1763.661+2678.9</f>
        <v>4442.561</v>
      </c>
      <c r="F49" s="25">
        <v>2718.353</v>
      </c>
      <c r="G49" s="20">
        <f t="shared" si="0"/>
        <v>49.28412232986087</v>
      </c>
      <c r="H49" s="20">
        <f t="shared" si="1"/>
        <v>61.188872814577</v>
      </c>
    </row>
    <row r="50" spans="1:8" s="38" customFormat="1" ht="14.25">
      <c r="A50" s="34" t="s">
        <v>50</v>
      </c>
      <c r="B50" s="18">
        <f>B51+B56</f>
        <v>79201.18000000001</v>
      </c>
      <c r="C50" s="18">
        <f>C51+C56</f>
        <v>3082.3</v>
      </c>
      <c r="D50" s="18">
        <f>D51+D56</f>
        <v>0</v>
      </c>
      <c r="E50" s="18">
        <f>E51+E56</f>
        <v>57003.795</v>
      </c>
      <c r="F50" s="18">
        <f>F51+F56</f>
        <v>54670.525</v>
      </c>
      <c r="G50" s="19">
        <f t="shared" si="0"/>
        <v>69.02741221784827</v>
      </c>
      <c r="H50" s="19">
        <f t="shared" si="1"/>
        <v>95.90681637950597</v>
      </c>
    </row>
    <row r="51" spans="1:8" s="38" customFormat="1" ht="15">
      <c r="A51" s="37" t="s">
        <v>48</v>
      </c>
      <c r="B51" s="25">
        <v>74795.85</v>
      </c>
      <c r="C51" s="25">
        <v>3082.3</v>
      </c>
      <c r="D51" s="25"/>
      <c r="E51" s="25">
        <v>54388.972</v>
      </c>
      <c r="F51" s="25">
        <v>52094.051</v>
      </c>
      <c r="G51" s="20">
        <f>SUM(F51)/B51*100</f>
        <v>69.64831738659296</v>
      </c>
      <c r="H51" s="20">
        <f>SUM(F51)/E51*100</f>
        <v>95.78053984914442</v>
      </c>
    </row>
    <row r="52" spans="1:8" s="38" customFormat="1" ht="15">
      <c r="A52" s="39" t="s">
        <v>40</v>
      </c>
      <c r="B52" s="11">
        <v>41542.044</v>
      </c>
      <c r="C52" s="11">
        <v>2261.4</v>
      </c>
      <c r="D52" s="11"/>
      <c r="E52" s="11">
        <v>29921.722</v>
      </c>
      <c r="F52" s="11">
        <v>29640.632</v>
      </c>
      <c r="G52" s="20">
        <f t="shared" si="0"/>
        <v>71.3509234162864</v>
      </c>
      <c r="H52" s="20">
        <f t="shared" si="1"/>
        <v>99.06058214162941</v>
      </c>
    </row>
    <row r="53" spans="1:8" s="38" customFormat="1" ht="15">
      <c r="A53" s="39" t="s">
        <v>41</v>
      </c>
      <c r="B53" s="11">
        <v>15008.932</v>
      </c>
      <c r="C53" s="11">
        <v>820.9</v>
      </c>
      <c r="D53" s="11"/>
      <c r="E53" s="11">
        <v>10823.028</v>
      </c>
      <c r="F53" s="11">
        <v>10723.958</v>
      </c>
      <c r="G53" s="20">
        <f t="shared" si="0"/>
        <v>71.45050693813523</v>
      </c>
      <c r="H53" s="20">
        <f t="shared" si="1"/>
        <v>99.08463694263749</v>
      </c>
    </row>
    <row r="54" spans="1:8" s="38" customFormat="1" ht="30">
      <c r="A54" s="39" t="s">
        <v>44</v>
      </c>
      <c r="B54" s="11">
        <v>4210.676</v>
      </c>
      <c r="C54" s="11"/>
      <c r="D54" s="11"/>
      <c r="E54" s="11">
        <v>2619.296</v>
      </c>
      <c r="F54" s="11">
        <v>2405.861</v>
      </c>
      <c r="G54" s="20">
        <f t="shared" si="0"/>
        <v>57.13716752369452</v>
      </c>
      <c r="H54" s="20">
        <f t="shared" si="1"/>
        <v>91.85143641650275</v>
      </c>
    </row>
    <row r="55" spans="1:8" s="38" customFormat="1" ht="15">
      <c r="A55" s="39" t="s">
        <v>45</v>
      </c>
      <c r="B55" s="11">
        <f>SUM(B51)-B52-B53-B54</f>
        <v>14034.198000000004</v>
      </c>
      <c r="C55" s="11"/>
      <c r="D55" s="11"/>
      <c r="E55" s="11">
        <f>SUM(E51)-E52-E53-E54</f>
        <v>11024.926</v>
      </c>
      <c r="F55" s="11">
        <f>SUM(F51)-F52-F53-F54</f>
        <v>9323.599999999999</v>
      </c>
      <c r="G55" s="20">
        <f t="shared" si="0"/>
        <v>66.43486147195583</v>
      </c>
      <c r="H55" s="20">
        <f t="shared" si="1"/>
        <v>84.56836807793539</v>
      </c>
    </row>
    <row r="56" spans="1:8" s="38" customFormat="1" ht="15">
      <c r="A56" s="37" t="s">
        <v>46</v>
      </c>
      <c r="B56" s="25">
        <f>200+4205.33</f>
        <v>4405.33</v>
      </c>
      <c r="C56" s="25"/>
      <c r="D56" s="25"/>
      <c r="E56" s="25">
        <f>200+2414.823</f>
        <v>2614.823</v>
      </c>
      <c r="F56" s="25">
        <v>2576.474</v>
      </c>
      <c r="G56" s="20">
        <f t="shared" si="0"/>
        <v>58.48538020988212</v>
      </c>
      <c r="H56" s="20">
        <f t="shared" si="1"/>
        <v>98.5333997750517</v>
      </c>
    </row>
    <row r="57" spans="1:8" s="38" customFormat="1" ht="28.5">
      <c r="A57" s="21" t="s">
        <v>51</v>
      </c>
      <c r="B57" s="22">
        <f>B58+B63</f>
        <v>294306.634</v>
      </c>
      <c r="C57" s="22">
        <f>C58+C63</f>
        <v>3050</v>
      </c>
      <c r="D57" s="22">
        <f>D58+D63</f>
        <v>0</v>
      </c>
      <c r="E57" s="22">
        <f>E58+E63</f>
        <v>200134.451</v>
      </c>
      <c r="F57" s="22">
        <f>F58+F63</f>
        <v>169419.74800000002</v>
      </c>
      <c r="G57" s="19">
        <f t="shared" si="0"/>
        <v>57.565725140942625</v>
      </c>
      <c r="H57" s="19">
        <f t="shared" si="1"/>
        <v>84.65296562059673</v>
      </c>
    </row>
    <row r="58" spans="1:8" s="38" customFormat="1" ht="15">
      <c r="A58" s="37" t="s">
        <v>48</v>
      </c>
      <c r="B58" s="25">
        <f>158681.628+35861.8</f>
        <v>194543.428</v>
      </c>
      <c r="C58" s="25">
        <v>3050</v>
      </c>
      <c r="D58" s="25"/>
      <c r="E58" s="25">
        <f>112013.795+20445.9+119</f>
        <v>132578.695</v>
      </c>
      <c r="F58" s="25">
        <f>105299.071+2.562+10791.202</f>
        <v>116092.835</v>
      </c>
      <c r="G58" s="20">
        <f>SUM(F58)/B58*100</f>
        <v>59.674508768294146</v>
      </c>
      <c r="H58" s="20">
        <f>SUM(F58)/E58*100</f>
        <v>87.56522682622574</v>
      </c>
    </row>
    <row r="59" spans="1:8" s="38" customFormat="1" ht="15">
      <c r="A59" s="39" t="s">
        <v>40</v>
      </c>
      <c r="B59" s="11">
        <v>423.637</v>
      </c>
      <c r="C59" s="11"/>
      <c r="D59" s="11"/>
      <c r="E59" s="11">
        <v>341.296</v>
      </c>
      <c r="F59" s="11">
        <v>288.289</v>
      </c>
      <c r="G59" s="20">
        <f t="shared" si="0"/>
        <v>68.05094927968992</v>
      </c>
      <c r="H59" s="20">
        <f t="shared" si="1"/>
        <v>84.46890675542637</v>
      </c>
    </row>
    <row r="60" spans="1:8" s="38" customFormat="1" ht="15">
      <c r="A60" s="39" t="s">
        <v>41</v>
      </c>
      <c r="B60" s="11">
        <v>153.961</v>
      </c>
      <c r="C60" s="11"/>
      <c r="D60" s="11"/>
      <c r="E60" s="11">
        <v>123.661</v>
      </c>
      <c r="F60" s="11">
        <v>101.727</v>
      </c>
      <c r="G60" s="20">
        <f t="shared" si="0"/>
        <v>66.07322633653978</v>
      </c>
      <c r="H60" s="20">
        <f t="shared" si="1"/>
        <v>82.26279910400207</v>
      </c>
    </row>
    <row r="61" spans="1:8" s="38" customFormat="1" ht="30">
      <c r="A61" s="39" t="s">
        <v>44</v>
      </c>
      <c r="B61" s="11">
        <v>15891.008</v>
      </c>
      <c r="C61" s="11"/>
      <c r="D61" s="11"/>
      <c r="E61" s="11">
        <v>10672.258</v>
      </c>
      <c r="F61" s="11">
        <f>9781.519+303.294</f>
        <v>10084.813</v>
      </c>
      <c r="G61" s="20">
        <f t="shared" si="0"/>
        <v>63.46238703045144</v>
      </c>
      <c r="H61" s="20">
        <f t="shared" si="1"/>
        <v>94.49558846871956</v>
      </c>
    </row>
    <row r="62" spans="1:8" s="38" customFormat="1" ht="15">
      <c r="A62" s="39" t="s">
        <v>45</v>
      </c>
      <c r="B62" s="11">
        <f>SUM(B58)-B59-B60-B61</f>
        <v>178074.82200000001</v>
      </c>
      <c r="C62" s="11"/>
      <c r="D62" s="11"/>
      <c r="E62" s="11">
        <f>SUM(E58)-E59-E60-E61</f>
        <v>121441.48000000001</v>
      </c>
      <c r="F62" s="11">
        <f>SUM(F58)-F59-F60-F61</f>
        <v>105618.00600000001</v>
      </c>
      <c r="G62" s="20">
        <f t="shared" si="0"/>
        <v>59.311027136671804</v>
      </c>
      <c r="H62" s="20">
        <f t="shared" si="1"/>
        <v>86.97028889964122</v>
      </c>
    </row>
    <row r="63" spans="1:8" s="38" customFormat="1" ht="15">
      <c r="A63" s="37" t="s">
        <v>46</v>
      </c>
      <c r="B63" s="25">
        <f>61251.718-35861.8+74373.288</f>
        <v>99763.206</v>
      </c>
      <c r="C63" s="25"/>
      <c r="D63" s="25"/>
      <c r="E63" s="25">
        <f>43599.3-20445.9+44402.356</f>
        <v>67555.756</v>
      </c>
      <c r="F63" s="25">
        <f>53325.558+1.355</f>
        <v>53326.913</v>
      </c>
      <c r="G63" s="20">
        <f t="shared" si="0"/>
        <v>53.4534876515496</v>
      </c>
      <c r="H63" s="20">
        <f t="shared" si="1"/>
        <v>78.93763042189921</v>
      </c>
    </row>
    <row r="64" spans="1:8" s="38" customFormat="1" ht="15">
      <c r="A64" s="21" t="s">
        <v>52</v>
      </c>
      <c r="B64" s="22">
        <f>SUM(B65)</f>
        <v>83300.756</v>
      </c>
      <c r="C64" s="22">
        <f>SUM(C65)</f>
        <v>0</v>
      </c>
      <c r="D64" s="22">
        <f>SUM(D65)</f>
        <v>0</v>
      </c>
      <c r="E64" s="22">
        <f>SUM(E65)</f>
        <v>34974.13</v>
      </c>
      <c r="F64" s="22">
        <f>SUM(F65)</f>
        <v>20714.657</v>
      </c>
      <c r="G64" s="19">
        <f t="shared" si="0"/>
        <v>24.867309727657215</v>
      </c>
      <c r="H64" s="19">
        <f t="shared" si="1"/>
        <v>59.2285126177549</v>
      </c>
    </row>
    <row r="65" spans="1:8" s="38" customFormat="1" ht="15">
      <c r="A65" s="37" t="s">
        <v>46</v>
      </c>
      <c r="B65" s="25">
        <f>19538.959+63761.797</f>
        <v>83300.756</v>
      </c>
      <c r="C65" s="25"/>
      <c r="D65" s="25"/>
      <c r="E65" s="25">
        <f>5348.842+29625.288</f>
        <v>34974.13</v>
      </c>
      <c r="F65" s="25">
        <f>20711.396+3.261</f>
        <v>20714.657</v>
      </c>
      <c r="G65" s="20">
        <f t="shared" si="0"/>
        <v>24.867309727657215</v>
      </c>
      <c r="H65" s="20">
        <f t="shared" si="1"/>
        <v>59.2285126177549</v>
      </c>
    </row>
    <row r="66" spans="1:8" s="38" customFormat="1" ht="15">
      <c r="A66" s="41" t="s">
        <v>53</v>
      </c>
      <c r="B66" s="22">
        <f>SUM(B67:B68)</f>
        <v>152245.844</v>
      </c>
      <c r="C66" s="22">
        <f>SUM(C67:C68)</f>
        <v>3000</v>
      </c>
      <c r="D66" s="22">
        <f>SUM(D67:D68)</f>
        <v>0</v>
      </c>
      <c r="E66" s="22">
        <f>SUM(E67:E68)</f>
        <v>111177.268</v>
      </c>
      <c r="F66" s="22">
        <f>SUM(F67:F68)</f>
        <v>103870.236</v>
      </c>
      <c r="G66" s="19">
        <f t="shared" si="0"/>
        <v>68.22533428235978</v>
      </c>
      <c r="H66" s="19">
        <f t="shared" si="1"/>
        <v>93.42758449506063</v>
      </c>
    </row>
    <row r="67" spans="1:8" s="38" customFormat="1" ht="15">
      <c r="A67" s="37" t="s">
        <v>45</v>
      </c>
      <c r="B67" s="25">
        <v>59582.369</v>
      </c>
      <c r="C67" s="25">
        <v>3000</v>
      </c>
      <c r="D67" s="25"/>
      <c r="E67" s="25">
        <v>46881.144</v>
      </c>
      <c r="F67" s="25">
        <v>46437.301</v>
      </c>
      <c r="G67" s="20">
        <f t="shared" si="0"/>
        <v>77.93799034744657</v>
      </c>
      <c r="H67" s="20">
        <f t="shared" si="1"/>
        <v>99.05325902456646</v>
      </c>
    </row>
    <row r="68" spans="1:8" s="38" customFormat="1" ht="15">
      <c r="A68" s="37" t="s">
        <v>46</v>
      </c>
      <c r="B68" s="25">
        <f>40309.086+52354.389</f>
        <v>92663.475</v>
      </c>
      <c r="C68" s="25"/>
      <c r="D68" s="25"/>
      <c r="E68" s="25">
        <f>22803.668+41492.456</f>
        <v>64296.123999999996</v>
      </c>
      <c r="F68" s="25">
        <v>57432.935</v>
      </c>
      <c r="G68" s="20">
        <f t="shared" si="0"/>
        <v>61.980122157085084</v>
      </c>
      <c r="H68" s="20">
        <f t="shared" si="1"/>
        <v>89.32565670677131</v>
      </c>
    </row>
    <row r="69" spans="1:8" s="38" customFormat="1" ht="57">
      <c r="A69" s="42" t="s">
        <v>54</v>
      </c>
      <c r="B69" s="22">
        <f>SUM(B70:B70)</f>
        <v>46206</v>
      </c>
      <c r="C69" s="22">
        <f>SUM(C70:C70)</f>
        <v>0</v>
      </c>
      <c r="D69" s="22">
        <f>SUM(D70:D70)</f>
        <v>0</v>
      </c>
      <c r="E69" s="22">
        <f>SUM(E70:E70)</f>
        <v>27422.15</v>
      </c>
      <c r="F69" s="22">
        <f>SUM(F70:F70)</f>
        <v>26672.65</v>
      </c>
      <c r="G69" s="19">
        <f t="shared" si="0"/>
        <v>57.7255118382894</v>
      </c>
      <c r="H69" s="19">
        <f t="shared" si="1"/>
        <v>97.26680803656897</v>
      </c>
    </row>
    <row r="70" spans="1:8" s="38" customFormat="1" ht="15">
      <c r="A70" s="37" t="s">
        <v>46</v>
      </c>
      <c r="B70" s="25">
        <f>12870+33336</f>
        <v>46206</v>
      </c>
      <c r="C70" s="25"/>
      <c r="D70" s="25"/>
      <c r="E70" s="25">
        <f>16102.15+11320</f>
        <v>27422.15</v>
      </c>
      <c r="F70" s="25">
        <v>26672.65</v>
      </c>
      <c r="G70" s="20">
        <f t="shared" si="0"/>
        <v>57.7255118382894</v>
      </c>
      <c r="H70" s="20">
        <f t="shared" si="1"/>
        <v>97.26680803656897</v>
      </c>
    </row>
    <row r="71" spans="1:8" s="38" customFormat="1" ht="39.75" customHeight="1">
      <c r="A71" s="41" t="s">
        <v>55</v>
      </c>
      <c r="B71" s="18">
        <f>SUM(B72)+B75</f>
        <v>6808.700000000001</v>
      </c>
      <c r="C71" s="18">
        <f>SUM(C72)+C75</f>
        <v>0</v>
      </c>
      <c r="D71" s="18">
        <f>SUM(D72)+D75</f>
        <v>0</v>
      </c>
      <c r="E71" s="18">
        <f>SUM(E72)+E75</f>
        <v>4164.364</v>
      </c>
      <c r="F71" s="18">
        <f>SUM(F72)+F75</f>
        <v>3851.375</v>
      </c>
      <c r="G71" s="19">
        <f t="shared" si="0"/>
        <v>56.565497084612325</v>
      </c>
      <c r="H71" s="19">
        <f t="shared" si="1"/>
        <v>92.48411041878184</v>
      </c>
    </row>
    <row r="72" spans="1:8" s="38" customFormat="1" ht="15">
      <c r="A72" s="37" t="s">
        <v>48</v>
      </c>
      <c r="B72" s="25">
        <v>5036.657</v>
      </c>
      <c r="C72" s="25"/>
      <c r="D72" s="25"/>
      <c r="E72" s="25">
        <v>4092.321</v>
      </c>
      <c r="F72" s="25">
        <v>3851.375</v>
      </c>
      <c r="G72" s="20">
        <f>SUM(F72)/B72*100</f>
        <v>76.46689063797673</v>
      </c>
      <c r="H72" s="20">
        <f>SUM(F72)/E72*100</f>
        <v>94.11224095079541</v>
      </c>
    </row>
    <row r="73" spans="1:8" s="38" customFormat="1" ht="30">
      <c r="A73" s="39" t="s">
        <v>44</v>
      </c>
      <c r="B73" s="11">
        <v>6.072</v>
      </c>
      <c r="C73" s="11"/>
      <c r="D73" s="11"/>
      <c r="E73" s="11">
        <v>4.672</v>
      </c>
      <c r="F73" s="11">
        <v>1.49</v>
      </c>
      <c r="G73" s="20">
        <f t="shared" si="0"/>
        <v>24.538866930171277</v>
      </c>
      <c r="H73" s="20">
        <f t="shared" si="1"/>
        <v>31.892123287671236</v>
      </c>
    </row>
    <row r="74" spans="1:8" s="38" customFormat="1" ht="15">
      <c r="A74" s="39" t="s">
        <v>45</v>
      </c>
      <c r="B74" s="11">
        <f>SUM(B71)-B73</f>
        <v>6802.628000000001</v>
      </c>
      <c r="C74" s="11"/>
      <c r="D74" s="11"/>
      <c r="E74" s="11">
        <f>SUM(E71)-E73</f>
        <v>4159.692</v>
      </c>
      <c r="F74" s="11">
        <f>SUM(F71)-F73</f>
        <v>3849.885</v>
      </c>
      <c r="G74" s="20">
        <f aca="true" t="shared" si="2" ref="G74:G92">SUM(F74)/B74*100</f>
        <v>56.59408393344454</v>
      </c>
      <c r="H74" s="20">
        <f aca="true" t="shared" si="3" ref="H74:H92">SUM(F74)/E74*100</f>
        <v>92.55216491990272</v>
      </c>
    </row>
    <row r="75" spans="1:8" s="38" customFormat="1" ht="15">
      <c r="A75" s="37" t="s">
        <v>46</v>
      </c>
      <c r="B75" s="25">
        <f>1700+72.043</f>
        <v>1772.0430000000001</v>
      </c>
      <c r="C75" s="25"/>
      <c r="D75" s="25"/>
      <c r="E75" s="25">
        <v>72.043</v>
      </c>
      <c r="F75" s="25"/>
      <c r="G75" s="20">
        <f t="shared" si="2"/>
        <v>0</v>
      </c>
      <c r="H75" s="20">
        <f t="shared" si="3"/>
        <v>0</v>
      </c>
    </row>
    <row r="76" spans="1:8" s="38" customFormat="1" ht="15">
      <c r="A76" s="41" t="s">
        <v>56</v>
      </c>
      <c r="B76" s="25">
        <v>2500</v>
      </c>
      <c r="C76" s="25"/>
      <c r="D76" s="25"/>
      <c r="E76" s="25">
        <v>400</v>
      </c>
      <c r="F76" s="25"/>
      <c r="G76" s="19">
        <f t="shared" si="2"/>
        <v>0</v>
      </c>
      <c r="H76" s="19"/>
    </row>
    <row r="77" spans="1:8" s="38" customFormat="1" ht="15">
      <c r="A77" s="41" t="s">
        <v>57</v>
      </c>
      <c r="B77" s="25">
        <v>18418.4</v>
      </c>
      <c r="C77" s="25"/>
      <c r="D77" s="25"/>
      <c r="E77" s="25">
        <v>13814</v>
      </c>
      <c r="F77" s="25">
        <v>13814</v>
      </c>
      <c r="G77" s="19">
        <f t="shared" si="2"/>
        <v>75.00108587065108</v>
      </c>
      <c r="H77" s="19">
        <f t="shared" si="3"/>
        <v>100</v>
      </c>
    </row>
    <row r="78" spans="1:8" s="36" customFormat="1" ht="14.25">
      <c r="A78" s="34" t="s">
        <v>58</v>
      </c>
      <c r="B78" s="18">
        <f>SUM(B79)+B83</f>
        <v>11789.15</v>
      </c>
      <c r="C78" s="18">
        <f>SUM(C79)+C83</f>
        <v>0</v>
      </c>
      <c r="D78" s="18">
        <f>SUM(D79)+D83</f>
        <v>0</v>
      </c>
      <c r="E78" s="18">
        <f>SUM(E79)+E83</f>
        <v>6556.817999999999</v>
      </c>
      <c r="F78" s="18">
        <f>SUM(F79)+F83</f>
        <v>4661.46457</v>
      </c>
      <c r="G78" s="19">
        <f t="shared" si="2"/>
        <v>39.54029399914328</v>
      </c>
      <c r="H78" s="19">
        <f t="shared" si="3"/>
        <v>71.09339575995553</v>
      </c>
    </row>
    <row r="79" spans="1:8" s="36" customFormat="1" ht="15">
      <c r="A79" s="37" t="s">
        <v>48</v>
      </c>
      <c r="B79" s="25">
        <v>8458.756</v>
      </c>
      <c r="C79" s="25"/>
      <c r="D79" s="25"/>
      <c r="E79" s="25">
        <v>3466.424</v>
      </c>
      <c r="F79" s="25">
        <f>2438.14657-565.124</f>
        <v>1873.0225699999999</v>
      </c>
      <c r="G79" s="20">
        <f>SUM(F79)/B79*100</f>
        <v>22.143002706308117</v>
      </c>
      <c r="H79" s="20">
        <f>SUM(F79)/E79*100</f>
        <v>54.03327954110634</v>
      </c>
    </row>
    <row r="80" spans="1:8" s="38" customFormat="1" ht="15">
      <c r="A80" s="39" t="s">
        <v>40</v>
      </c>
      <c r="B80" s="11">
        <v>98.3</v>
      </c>
      <c r="C80" s="11"/>
      <c r="D80" s="11"/>
      <c r="E80" s="11">
        <v>98.3</v>
      </c>
      <c r="F80" s="11">
        <v>77.317</v>
      </c>
      <c r="G80" s="20">
        <f t="shared" si="2"/>
        <v>78.65412004069175</v>
      </c>
      <c r="H80" s="20">
        <f t="shared" si="3"/>
        <v>78.65412004069175</v>
      </c>
    </row>
    <row r="81" spans="1:8" s="38" customFormat="1" ht="15">
      <c r="A81" s="39" t="s">
        <v>41</v>
      </c>
      <c r="B81" s="11">
        <v>33.7</v>
      </c>
      <c r="C81" s="11"/>
      <c r="D81" s="11"/>
      <c r="E81" s="11">
        <v>33.7</v>
      </c>
      <c r="F81" s="11">
        <v>26.829</v>
      </c>
      <c r="G81" s="20">
        <f t="shared" si="2"/>
        <v>79.61127596439168</v>
      </c>
      <c r="H81" s="20">
        <f t="shared" si="3"/>
        <v>79.61127596439168</v>
      </c>
    </row>
    <row r="82" spans="1:8" s="38" customFormat="1" ht="15">
      <c r="A82" s="39" t="s">
        <v>45</v>
      </c>
      <c r="B82" s="11">
        <f>SUM(B79)-B80-B81</f>
        <v>8326.756</v>
      </c>
      <c r="C82" s="11"/>
      <c r="D82" s="11"/>
      <c r="E82" s="11">
        <v>3326.394</v>
      </c>
      <c r="F82" s="11">
        <f>SUM(F79)-F80-F81</f>
        <v>1768.87657</v>
      </c>
      <c r="G82" s="20">
        <f t="shared" si="2"/>
        <v>21.243285740569316</v>
      </c>
      <c r="H82" s="20">
        <f t="shared" si="3"/>
        <v>53.177000980641495</v>
      </c>
    </row>
    <row r="83" spans="1:8" s="38" customFormat="1" ht="15">
      <c r="A83" s="37" t="s">
        <v>46</v>
      </c>
      <c r="B83" s="25">
        <f>3566.394-236</f>
        <v>3330.394</v>
      </c>
      <c r="C83" s="25"/>
      <c r="D83" s="25"/>
      <c r="E83" s="25">
        <f>3090.394</f>
        <v>3090.394</v>
      </c>
      <c r="F83" s="25">
        <v>2788.442</v>
      </c>
      <c r="G83" s="20">
        <f t="shared" si="2"/>
        <v>83.72709054844563</v>
      </c>
      <c r="H83" s="20">
        <f t="shared" si="3"/>
        <v>90.22933645353959</v>
      </c>
    </row>
    <row r="84" spans="1:8" s="38" customFormat="1" ht="40.5">
      <c r="A84" s="43" t="s">
        <v>59</v>
      </c>
      <c r="B84" s="18">
        <f>2159.137+16186.092</f>
        <v>18345.229</v>
      </c>
      <c r="C84" s="18">
        <f>5000+35.555</f>
        <v>5035.555</v>
      </c>
      <c r="D84" s="18"/>
      <c r="E84" s="18">
        <f>2159.137+11186.092</f>
        <v>13345.229000000001</v>
      </c>
      <c r="F84" s="18">
        <f>11186.092+1957.802</f>
        <v>13143.894</v>
      </c>
      <c r="G84" s="19">
        <f t="shared" si="2"/>
        <v>71.64747848064475</v>
      </c>
      <c r="H84" s="19">
        <f t="shared" si="3"/>
        <v>98.4913334945395</v>
      </c>
    </row>
    <row r="85" spans="1:15" s="47" customFormat="1" ht="15.75">
      <c r="A85" s="44" t="s">
        <v>60</v>
      </c>
      <c r="B85" s="28">
        <f>B5+B14+B23+B36+B43+B50+B57+B64+B66+B69+B71+B76+B77+B78+B84</f>
        <v>2525046.178</v>
      </c>
      <c r="C85" s="28">
        <f>C5+C14+C23+C36+C43+C50+C57+C64+C66+C69+C71+C76+C77+C78+C84</f>
        <v>49649.155</v>
      </c>
      <c r="D85" s="28">
        <f>D5+D14+D23+D36+D43+D50+D57+D64+D66+D69+D71+D76+D77+D78+D84</f>
        <v>21126.800000000003</v>
      </c>
      <c r="E85" s="28">
        <f>E5+E14+E23+E36+E43+E50+E57+E64+E66+E69+E71+E76+E77+E78+E84</f>
        <v>1675637.7969999998</v>
      </c>
      <c r="F85" s="28">
        <f>F5+F14+F23+F36+F43+F50+F57+F64+F66+F69+F71+F76+F77+F78+F84</f>
        <v>1547003.71957</v>
      </c>
      <c r="G85" s="19">
        <f t="shared" si="2"/>
        <v>61.266353583890776</v>
      </c>
      <c r="H85" s="19">
        <f t="shared" si="3"/>
        <v>92.32327668543276</v>
      </c>
      <c r="I85" s="45"/>
      <c r="J85" s="45"/>
      <c r="K85" s="45"/>
      <c r="L85" s="45"/>
      <c r="M85" s="46"/>
      <c r="N85" s="46"/>
      <c r="O85" s="46"/>
    </row>
    <row r="86" spans="1:15" s="47" customFormat="1" ht="15.75">
      <c r="A86" s="34" t="s">
        <v>48</v>
      </c>
      <c r="B86" s="28">
        <f>B6+B15+B24+B37+B44+B51+B58+B67+B72+B79+B77</f>
        <v>2091339.4470000002</v>
      </c>
      <c r="C86" s="28">
        <f>C6+C15+C24+C37+C44+C51+C58+C67+C72+C79+C77</f>
        <v>44613.6</v>
      </c>
      <c r="D86" s="28">
        <f>D6+D15+D24+D37+D44+D51+D58+D67+D72+D79+D77</f>
        <v>21126.800000000003</v>
      </c>
      <c r="E86" s="28">
        <f>E6+E15+E24+E37+E44+E51+E58+E67+E72+E79+E77</f>
        <v>1404504.4670000004</v>
      </c>
      <c r="F86" s="28">
        <f>F6+F15+F24+F37+F44+F51+F58+F67+F72+F79+F77</f>
        <v>1328055.88557</v>
      </c>
      <c r="G86" s="19">
        <f>SUM(F86)/B86*100</f>
        <v>63.5026459944166</v>
      </c>
      <c r="H86" s="19">
        <f>SUM(F86)/E86*100</f>
        <v>94.55690008638467</v>
      </c>
      <c r="I86" s="45"/>
      <c r="J86" s="45"/>
      <c r="K86" s="45"/>
      <c r="L86" s="45"/>
      <c r="M86" s="46"/>
      <c r="N86" s="46"/>
      <c r="O86" s="46"/>
    </row>
    <row r="87" spans="1:8" s="49" customFormat="1" ht="15">
      <c r="A87" s="48" t="s">
        <v>40</v>
      </c>
      <c r="B87" s="22">
        <f aca="true" t="shared" si="4" ref="B87:F88">B7+B16+B25+B38+B45+B52+B59+B80</f>
        <v>558028.6220000001</v>
      </c>
      <c r="C87" s="22">
        <f>C7+C16+C25+C38+C45+C52+C59+C80</f>
        <v>26978.980000000003</v>
      </c>
      <c r="D87" s="22">
        <f>D7+D16+D25+D38+D45+D52+D59+D80</f>
        <v>13507.407</v>
      </c>
      <c r="E87" s="22">
        <f t="shared" si="4"/>
        <v>407406.111</v>
      </c>
      <c r="F87" s="22">
        <f t="shared" si="4"/>
        <v>394466.3059999999</v>
      </c>
      <c r="G87" s="19">
        <f t="shared" si="2"/>
        <v>70.68926045159021</v>
      </c>
      <c r="H87" s="19">
        <f t="shared" si="3"/>
        <v>96.82385593867538</v>
      </c>
    </row>
    <row r="88" spans="1:8" ht="15">
      <c r="A88" s="48" t="s">
        <v>41</v>
      </c>
      <c r="B88" s="22">
        <f t="shared" si="4"/>
        <v>202075.92700000005</v>
      </c>
      <c r="C88" s="22">
        <f>C8+C17+C26+C39+C46+C53+C60+C81</f>
        <v>9062.296999999999</v>
      </c>
      <c r="D88" s="22">
        <f>D8+D17+D26+D39+D46+D53+D60+D81</f>
        <v>5180.983</v>
      </c>
      <c r="E88" s="22">
        <f t="shared" si="4"/>
        <v>147278</v>
      </c>
      <c r="F88" s="22">
        <f t="shared" si="4"/>
        <v>142963.15100000004</v>
      </c>
      <c r="G88" s="19">
        <f t="shared" si="2"/>
        <v>70.74724492046992</v>
      </c>
      <c r="H88" s="19">
        <f t="shared" si="3"/>
        <v>97.0702691508576</v>
      </c>
    </row>
    <row r="89" spans="1:8" ht="15">
      <c r="A89" s="48" t="s">
        <v>61</v>
      </c>
      <c r="B89" s="22">
        <f>B73+B11+B20+B29+B40+B47+B54+B61</f>
        <v>138944.103</v>
      </c>
      <c r="C89" s="22">
        <f>C73+C11+C20+C29+C40+C47+C54+C61</f>
        <v>0</v>
      </c>
      <c r="D89" s="22">
        <f>D73+D11+D20+D29+D40+D47+D54+D61</f>
        <v>0</v>
      </c>
      <c r="E89" s="22">
        <f>E73+E11+E20+E29+E40+E47+E54+E61</f>
        <v>87219.43699999999</v>
      </c>
      <c r="F89" s="22">
        <f>F73+F11+F20+F29+F40+F47+F54+F61</f>
        <v>73514.04699999999</v>
      </c>
      <c r="G89" s="19">
        <f t="shared" si="2"/>
        <v>52.90908027957112</v>
      </c>
      <c r="H89" s="19">
        <f t="shared" si="3"/>
        <v>84.28631223565453</v>
      </c>
    </row>
    <row r="90" spans="1:8" ht="15">
      <c r="A90" s="48" t="s">
        <v>45</v>
      </c>
      <c r="B90" s="22">
        <f>B86-B87-B88-B89</f>
        <v>1192290.795</v>
      </c>
      <c r="C90" s="22">
        <f>C86-C87-C88-C89</f>
        <v>8572.322999999997</v>
      </c>
      <c r="D90" s="22">
        <f>D86-D87-D88-D89</f>
        <v>2438.4100000000035</v>
      </c>
      <c r="E90" s="22">
        <f>E86-E87-E88-E89</f>
        <v>762600.9190000003</v>
      </c>
      <c r="F90" s="22">
        <f>F86-F87-F88-F89</f>
        <v>717112.38157</v>
      </c>
      <c r="G90" s="19">
        <f t="shared" si="2"/>
        <v>60.14576180385591</v>
      </c>
      <c r="H90" s="19">
        <f t="shared" si="3"/>
        <v>94.03507964694698</v>
      </c>
    </row>
    <row r="91" spans="1:8" ht="15">
      <c r="A91" s="34" t="s">
        <v>46</v>
      </c>
      <c r="B91" s="18">
        <f>B13+B22+B42+B34+B56+B63+B65+B68+B70+B75+B83+B49</f>
        <v>412861.50200000004</v>
      </c>
      <c r="C91" s="18">
        <f>C13+C22+C42+C34+C56+C63+C65+C68+C70+C75+C83+C49</f>
        <v>0</v>
      </c>
      <c r="D91" s="18">
        <f>D13+D22+D42+D34+D56+D63+D65+D68+D70+D75+D83+D49</f>
        <v>0</v>
      </c>
      <c r="E91" s="18">
        <f>E13+E22+E42+E34+E56+E63+E65+E68+E70+E75+E83+E49</f>
        <v>257388.10099999997</v>
      </c>
      <c r="F91" s="18">
        <f>F13+F22+F42+F34+F56+F63+F65+F68+F70+F75+F83+F49</f>
        <v>205803.94</v>
      </c>
      <c r="G91" s="19">
        <f t="shared" si="2"/>
        <v>49.848178869435976</v>
      </c>
      <c r="H91" s="19">
        <f t="shared" si="3"/>
        <v>79.9586069443047</v>
      </c>
    </row>
    <row r="92" spans="1:8" ht="15">
      <c r="A92" s="34" t="s">
        <v>62</v>
      </c>
      <c r="B92" s="18">
        <f>SUM(B84)</f>
        <v>18345.229</v>
      </c>
      <c r="C92" s="18">
        <f>SUM(C84)</f>
        <v>5035.555</v>
      </c>
      <c r="D92" s="18">
        <f>SUM(D84)</f>
        <v>0</v>
      </c>
      <c r="E92" s="18">
        <f>SUM(E84)</f>
        <v>13345.229000000001</v>
      </c>
      <c r="F92" s="18">
        <f>SUM(F84)</f>
        <v>13143.894</v>
      </c>
      <c r="G92" s="19">
        <f t="shared" si="2"/>
        <v>71.64747848064475</v>
      </c>
      <c r="H92" s="19">
        <f t="shared" si="3"/>
        <v>98.4913334945395</v>
      </c>
    </row>
    <row r="93" spans="1:8" ht="28.5">
      <c r="A93" s="34" t="s">
        <v>63</v>
      </c>
      <c r="B93" s="18">
        <f>SUM(B76)</f>
        <v>2500</v>
      </c>
      <c r="C93" s="18">
        <f>SUM(C76)</f>
        <v>0</v>
      </c>
      <c r="D93" s="18">
        <f>SUM(D76)</f>
        <v>0</v>
      </c>
      <c r="E93" s="18">
        <f>SUM(E76)</f>
        <v>400</v>
      </c>
      <c r="F93" s="18"/>
      <c r="G93" s="19"/>
      <c r="H93" s="19"/>
    </row>
    <row r="95" ht="15">
      <c r="D95" s="57"/>
    </row>
    <row r="96" spans="2:6" ht="15">
      <c r="B96" s="51"/>
      <c r="C96" s="51"/>
      <c r="D96" s="57"/>
      <c r="E96" s="51"/>
      <c r="F96" s="51"/>
    </row>
    <row r="97" spans="2:6" ht="15">
      <c r="B97" s="51"/>
      <c r="C97" s="51"/>
      <c r="D97" s="58"/>
      <c r="E97" s="51"/>
      <c r="F97" s="51"/>
    </row>
    <row r="98" spans="2:6" ht="15">
      <c r="B98" s="51"/>
      <c r="C98" s="51"/>
      <c r="E98" s="51"/>
      <c r="F98" s="51"/>
    </row>
    <row r="99" ht="15">
      <c r="D99" s="58"/>
    </row>
  </sheetData>
  <sheetProtection/>
  <mergeCells count="8">
    <mergeCell ref="A1:H1"/>
    <mergeCell ref="B3:B4"/>
    <mergeCell ref="E3:E4"/>
    <mergeCell ref="F3:F4"/>
    <mergeCell ref="G3:G4"/>
    <mergeCell ref="H3:H4"/>
    <mergeCell ref="A3:A4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user416c</cp:lastModifiedBy>
  <cp:lastPrinted>2015-10-01T13:30:37Z</cp:lastPrinted>
  <dcterms:created xsi:type="dcterms:W3CDTF">2015-04-07T07:35:57Z</dcterms:created>
  <dcterms:modified xsi:type="dcterms:W3CDTF">2015-10-01T13:34:46Z</dcterms:modified>
  <cp:category/>
  <cp:version/>
  <cp:contentType/>
  <cp:contentStatus/>
</cp:coreProperties>
</file>