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'укр'!$A$5:$M$93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<sst xmlns="http://schemas.openxmlformats.org/spreadsheetml/2006/main" count="190" uniqueCount="77">
  <si>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</si>
  <si>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</si>
  <si>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</si>
  <si>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</si>
  <si>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</si>
  <si>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</si>
  <si>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</si>
  <si>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</si>
  <si>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</si>
  <si>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</si>
  <si>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</si>
  <si>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</si>
  <si>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</si>
  <si>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</si>
  <si>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</si>
  <si>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</si>
  <si>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</si>
  <si>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</si>
  <si>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</si>
  <si>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</si>
  <si>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</si>
  <si>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</si>
  <si>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</si>
  <si>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</si>
  <si>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</si>
  <si>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</si>
  <si>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</si>
  <si>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</si>
  <si>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</si>
  <si>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</si>
  <si>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</si>
  <si>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</si>
  <si>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</si>
  <si>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</si>
  <si>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</si>
  <si>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</si>
  <si>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</si>
  <si>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</si>
  <si>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</si>
  <si>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</si>
  <si>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</si>
  <si>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</si>
  <si>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</si>
  <si>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</si>
  <si>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</si>
  <si>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</si>
  <si>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</si>
  <si>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</si>
  <si>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</si>
  <si>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</si>
  <si>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</si>
  <si>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</si>
  <si>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</si>
  <si>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</si>
  <si>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</si>
  <si>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</si>
  <si>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</si>
  <si>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</si>
  <si>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</si>
  <si>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</si>
  <si>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</si>
  <si>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</si>
  <si>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</si>
  <si>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</si>
  <si>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</si>
  <si>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</si>
  <si>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</si>
  <si>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</si>
  <si>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</si>
  <si>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</si>
  <si>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</si>
  <si>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</si>
  <si>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</si>
  <si>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16 жовтня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</si>
  <si>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16 октября </t>
    </r>
    <r>
      <rPr>
        <sz val="11"/>
        <rFont val="Times New Roman"/>
        <family val="1"/>
      </rPr>
      <t>тыс. грн.</t>
    </r>
  </si>
  <si>
    <t>План на січень-жовтень з урахуванням змін, тис. грн.</t>
  </si>
  <si>
    <t xml:space="preserve">План на январь-октябрь с учетом изменений, тыс. грн.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</si>
</sst>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3"/>
    </sheetView>
  </sheetViews>
  <sheetFormatPr defaultColWidth="9.140625" defaultRowHeight="15"/>
  <cols>
    <col min="1" max="1" width="36.140625" style="10" customWidth="1"/>
    <col min="2" max="3" width="17.28125" style="59" customWidth="1"/>
    <col min="4" max="4" width="15.8515625" style="59" customWidth="1"/>
    <col min="5" max="5" width="14.7109375" style="59" customWidth="1"/>
    <col min="6" max="6" width="15.140625" style="59" customWidth="1"/>
    <col min="7" max="7" width="9.140625" style="59" customWidth="1"/>
    <col min="8" max="16384" width="9.140625" style="10" customWidth="1"/>
  </cols>
  <sheetData>
    <row r="1" spans="1:7" s="1" customFormat="1" ht="32.25" customHeight="1">
      <c r="A1" s="76" t="s">
        <v>72</v>
      </c>
      <c r="B1" s="76"/>
      <c r="C1" s="76"/>
      <c r="D1" s="76"/>
      <c r="E1" s="76"/>
      <c r="F1" s="76"/>
      <c r="G1" s="64"/>
    </row>
    <row r="2" spans="1:7" s="1" customFormat="1" ht="12.75" customHeight="1">
      <c r="A2" s="15"/>
      <c r="B2" s="15"/>
      <c r="C2" s="15"/>
      <c r="D2" s="15"/>
      <c r="E2" s="15"/>
      <c r="F2" s="16"/>
      <c r="G2" s="64"/>
    </row>
    <row r="3" spans="1:7" s="1" customFormat="1" ht="31.5" customHeight="1">
      <c r="A3" s="75"/>
      <c r="B3" s="75" t="s">
        <v>17</v>
      </c>
      <c r="C3" s="75" t="s">
        <v>75</v>
      </c>
      <c r="D3" s="77" t="s">
        <v>73</v>
      </c>
      <c r="E3" s="75" t="s">
        <v>15</v>
      </c>
      <c r="F3" s="75" t="s">
        <v>16</v>
      </c>
      <c r="G3" s="64"/>
    </row>
    <row r="4" spans="1:7" s="1" customFormat="1" ht="33" customHeight="1">
      <c r="A4" s="75"/>
      <c r="B4" s="75"/>
      <c r="C4" s="75"/>
      <c r="D4" s="77"/>
      <c r="E4" s="75"/>
      <c r="F4" s="75"/>
      <c r="G4" s="64"/>
    </row>
    <row r="5" spans="1:7" s="2" customFormat="1" ht="16.5" customHeight="1">
      <c r="A5" s="17" t="s">
        <v>3</v>
      </c>
      <c r="B5" s="18">
        <f>B6+B13</f>
        <v>595833.484</v>
      </c>
      <c r="C5" s="18">
        <f>C6+C13</f>
        <v>484392.749</v>
      </c>
      <c r="D5" s="18">
        <f>D6+D13</f>
        <v>419698.194</v>
      </c>
      <c r="E5" s="19">
        <f>SUM(D5)/B5*100</f>
        <v>70.43883992259823</v>
      </c>
      <c r="F5" s="19">
        <f>SUM(D5)/C5*100</f>
        <v>86.64419417227899</v>
      </c>
      <c r="G5" s="65"/>
    </row>
    <row r="6" spans="1:7" s="14" customFormat="1" ht="16.5" customHeight="1">
      <c r="A6" s="30" t="s">
        <v>34</v>
      </c>
      <c r="B6" s="55">
        <v>562310.395</v>
      </c>
      <c r="C6" s="25">
        <v>453656.199</v>
      </c>
      <c r="D6" s="25">
        <f>397711.625+49.042</f>
        <v>397760.667</v>
      </c>
      <c r="E6" s="20">
        <f>SUM(D6)/B6*100</f>
        <v>70.73685113005959</v>
      </c>
      <c r="F6" s="20">
        <f>SUM(D6)/C6*100</f>
        <v>87.67887838340769</v>
      </c>
      <c r="G6" s="66"/>
    </row>
    <row r="7" spans="1:7" s="3" customFormat="1" ht="14.25" customHeight="1">
      <c r="A7" s="12" t="s">
        <v>1</v>
      </c>
      <c r="B7" s="11">
        <f>312527.163</f>
        <v>312527.163</v>
      </c>
      <c r="C7" s="11">
        <v>257573.157</v>
      </c>
      <c r="D7" s="11">
        <v>234822.448</v>
      </c>
      <c r="E7" s="20">
        <f aca="true" t="shared" si="0" ref="E7:E73">SUM(D7)/B7*100</f>
        <v>75.13665236195806</v>
      </c>
      <c r="F7" s="20">
        <f aca="true" t="shared" si="1" ref="F7:F73">SUM(D7)/C7*100</f>
        <v>91.16728262176792</v>
      </c>
      <c r="G7" s="66"/>
    </row>
    <row r="8" spans="1:7" s="3" customFormat="1" ht="15">
      <c r="A8" s="12" t="s">
        <v>29</v>
      </c>
      <c r="B8" s="11">
        <v>113569.19</v>
      </c>
      <c r="C8" s="11">
        <v>93588.761</v>
      </c>
      <c r="D8" s="11">
        <v>85840.603</v>
      </c>
      <c r="E8" s="20">
        <f t="shared" si="0"/>
        <v>75.58441070152917</v>
      </c>
      <c r="F8" s="20">
        <f t="shared" si="1"/>
        <v>91.7210593267711</v>
      </c>
      <c r="G8" s="66"/>
    </row>
    <row r="9" spans="1:7" s="3" customFormat="1" ht="15">
      <c r="A9" s="12" t="s">
        <v>4</v>
      </c>
      <c r="B9" s="11">
        <v>73.087</v>
      </c>
      <c r="C9" s="11">
        <v>73.087</v>
      </c>
      <c r="D9" s="11">
        <f>67.918+0.6</f>
        <v>68.518</v>
      </c>
      <c r="E9" s="20">
        <f t="shared" si="0"/>
        <v>93.74854625309563</v>
      </c>
      <c r="F9" s="20"/>
      <c r="G9" s="66"/>
    </row>
    <row r="10" spans="1:7" s="3" customFormat="1" ht="15">
      <c r="A10" s="12" t="s">
        <v>5</v>
      </c>
      <c r="B10" s="11">
        <v>33349.211</v>
      </c>
      <c r="C10" s="11">
        <v>24147.141</v>
      </c>
      <c r="D10" s="11">
        <f>19228.194+1202.817</f>
        <v>20431.011</v>
      </c>
      <c r="E10" s="20">
        <f t="shared" si="0"/>
        <v>61.263851189762775</v>
      </c>
      <c r="F10" s="20">
        <f t="shared" si="1"/>
        <v>84.61047624644259</v>
      </c>
      <c r="G10" s="66"/>
    </row>
    <row r="11" spans="1:7" s="3" customFormat="1" ht="15">
      <c r="A11" s="12" t="s">
        <v>31</v>
      </c>
      <c r="B11" s="11">
        <v>78527.174</v>
      </c>
      <c r="C11" s="11">
        <v>56212.294</v>
      </c>
      <c r="D11" s="11">
        <f>39622.722+18.124</f>
        <v>39640.846000000005</v>
      </c>
      <c r="E11" s="20">
        <f t="shared" si="0"/>
        <v>50.480418409046536</v>
      </c>
      <c r="F11" s="20">
        <f t="shared" si="1"/>
        <v>70.51988662835927</v>
      </c>
      <c r="G11" s="66"/>
    </row>
    <row r="12" spans="1:7" s="3" customFormat="1" ht="15">
      <c r="A12" s="12" t="s">
        <v>13</v>
      </c>
      <c r="B12" s="11">
        <f>SUM(B6)-B7-B8-B9-B10-B11</f>
        <v>24264.570000000007</v>
      </c>
      <c r="C12" s="11">
        <f>SUM(C6)-C7-C8-C9-C10-C11</f>
        <v>22061.759000000013</v>
      </c>
      <c r="D12" s="11">
        <f>SUM(D6)-D7-D8-D9-D10-D11</f>
        <v>16957.24100000001</v>
      </c>
      <c r="E12" s="20">
        <f t="shared" si="0"/>
        <v>69.8847785062748</v>
      </c>
      <c r="F12" s="20">
        <f t="shared" si="1"/>
        <v>76.86259740213825</v>
      </c>
      <c r="G12" s="66"/>
    </row>
    <row r="13" spans="1:7" s="3" customFormat="1" ht="15">
      <c r="A13" s="30" t="s">
        <v>14</v>
      </c>
      <c r="B13" s="58">
        <f>16516.755+17001.334+5</f>
        <v>33523.089</v>
      </c>
      <c r="C13" s="25">
        <f>15469.334+15262.216+5</f>
        <v>30736.550000000003</v>
      </c>
      <c r="D13" s="25">
        <f>21930.689+6.838</f>
        <v>21937.527</v>
      </c>
      <c r="E13" s="20">
        <f t="shared" si="0"/>
        <v>65.44005237703482</v>
      </c>
      <c r="F13" s="20">
        <f t="shared" si="1"/>
        <v>71.37276955286131</v>
      </c>
      <c r="G13" s="66"/>
    </row>
    <row r="14" spans="1:7" s="2" customFormat="1" ht="14.25">
      <c r="A14" s="17" t="s">
        <v>6</v>
      </c>
      <c r="B14" s="18">
        <f>B15+B22</f>
        <v>373273.95</v>
      </c>
      <c r="C14" s="18">
        <f>C15+C22</f>
        <v>311442.158</v>
      </c>
      <c r="D14" s="18">
        <f>D15+D22</f>
        <v>269696.827</v>
      </c>
      <c r="E14" s="19">
        <f t="shared" si="0"/>
        <v>72.2517140561242</v>
      </c>
      <c r="F14" s="19">
        <f t="shared" si="1"/>
        <v>86.59612068318637</v>
      </c>
      <c r="G14" s="67"/>
    </row>
    <row r="15" spans="1:7" s="14" customFormat="1" ht="15">
      <c r="A15" s="30" t="s">
        <v>33</v>
      </c>
      <c r="B15" s="25">
        <f>327920.177+25068</f>
        <v>352988.177</v>
      </c>
      <c r="C15" s="25">
        <f>270245.739+20910.646</f>
        <v>291156.385</v>
      </c>
      <c r="D15" s="25">
        <f>235059.6+690.75+19871.307</f>
        <v>255621.657</v>
      </c>
      <c r="E15" s="20">
        <f>SUM(D15)/B15*100</f>
        <v>72.41649257844689</v>
      </c>
      <c r="F15" s="20">
        <f>SUM(D15)/C15*100</f>
        <v>87.79531213097044</v>
      </c>
      <c r="G15" s="68"/>
    </row>
    <row r="16" spans="1:7" s="3" customFormat="1" ht="15">
      <c r="A16" s="12" t="s">
        <v>1</v>
      </c>
      <c r="B16" s="11">
        <v>138388.382</v>
      </c>
      <c r="C16" s="11">
        <v>113923.556</v>
      </c>
      <c r="D16" s="11">
        <f>103093.018+0.465</f>
        <v>103093.483</v>
      </c>
      <c r="E16" s="20">
        <f t="shared" si="0"/>
        <v>74.4957643915513</v>
      </c>
      <c r="F16" s="20">
        <f t="shared" si="1"/>
        <v>90.49356131404465</v>
      </c>
      <c r="G16" s="66"/>
    </row>
    <row r="17" spans="1:7" s="3" customFormat="1" ht="15">
      <c r="A17" s="12" t="s">
        <v>29</v>
      </c>
      <c r="B17" s="11">
        <v>49741.847</v>
      </c>
      <c r="C17" s="11">
        <v>41076.259</v>
      </c>
      <c r="D17" s="11">
        <f>36655.307+0.169</f>
        <v>36655.476</v>
      </c>
      <c r="E17" s="20">
        <f t="shared" si="0"/>
        <v>73.69142525005154</v>
      </c>
      <c r="F17" s="20">
        <f t="shared" si="1"/>
        <v>89.23762020294984</v>
      </c>
      <c r="G17" s="66"/>
    </row>
    <row r="18" spans="1:7" s="3" customFormat="1" ht="15">
      <c r="A18" s="12" t="s">
        <v>4</v>
      </c>
      <c r="B18" s="58">
        <v>11580.269</v>
      </c>
      <c r="C18" s="11">
        <v>10574.513</v>
      </c>
      <c r="D18" s="11">
        <f>9124.271+157.484</f>
        <v>9281.755000000001</v>
      </c>
      <c r="E18" s="20">
        <f t="shared" si="0"/>
        <v>80.15146280280709</v>
      </c>
      <c r="F18" s="20">
        <f t="shared" si="1"/>
        <v>87.77477506529142</v>
      </c>
      <c r="G18" s="66"/>
    </row>
    <row r="19" spans="1:7" s="3" customFormat="1" ht="15">
      <c r="A19" s="12" t="s">
        <v>5</v>
      </c>
      <c r="B19" s="11">
        <v>4056.884</v>
      </c>
      <c r="C19" s="11">
        <v>3446.687</v>
      </c>
      <c r="D19" s="11">
        <f>3053.166+76.358</f>
        <v>3129.5240000000003</v>
      </c>
      <c r="E19" s="20">
        <f t="shared" si="0"/>
        <v>77.14107674757278</v>
      </c>
      <c r="F19" s="20">
        <f t="shared" si="1"/>
        <v>90.79803300966988</v>
      </c>
      <c r="G19" s="66"/>
    </row>
    <row r="20" spans="1:7" s="3" customFormat="1" ht="15">
      <c r="A20" s="12" t="s">
        <v>31</v>
      </c>
      <c r="B20" s="11">
        <v>30224.41</v>
      </c>
      <c r="C20" s="11">
        <v>23623.552</v>
      </c>
      <c r="D20" s="11">
        <f>17151.655+57.419</f>
        <v>17209.074</v>
      </c>
      <c r="E20" s="20">
        <f t="shared" si="0"/>
        <v>56.937667269600965</v>
      </c>
      <c r="F20" s="20">
        <f t="shared" si="1"/>
        <v>72.84710614220927</v>
      </c>
      <c r="G20" s="66"/>
    </row>
    <row r="21" spans="1:7" s="3" customFormat="1" ht="15">
      <c r="A21" s="56" t="s">
        <v>13</v>
      </c>
      <c r="B21" s="11">
        <f>SUM(B15)-B16-B17-B18-B19-B20</f>
        <v>118996.38500000001</v>
      </c>
      <c r="C21" s="11">
        <f>SUM(C15)-C16-C17-C18-C19-C20</f>
        <v>98511.81800000003</v>
      </c>
      <c r="D21" s="11">
        <f>SUM(D15)-D16-D17-D18-D19-D20</f>
        <v>86252.345</v>
      </c>
      <c r="E21" s="20">
        <f t="shared" si="0"/>
        <v>72.4831640893965</v>
      </c>
      <c r="F21" s="20">
        <f t="shared" si="1"/>
        <v>87.55532762576767</v>
      </c>
      <c r="G21" s="66"/>
    </row>
    <row r="22" spans="1:7" s="3" customFormat="1" ht="15">
      <c r="A22" s="57" t="s">
        <v>14</v>
      </c>
      <c r="B22" s="25">
        <f>11416.945+8868.828</f>
        <v>20285.773</v>
      </c>
      <c r="C22" s="25">
        <f>8868.828+11416.945</f>
        <v>20285.773</v>
      </c>
      <c r="D22" s="25">
        <f>13777.159+298.011</f>
        <v>14075.17</v>
      </c>
      <c r="E22" s="20">
        <f t="shared" si="0"/>
        <v>69.38444002109262</v>
      </c>
      <c r="F22" s="20">
        <f t="shared" si="1"/>
        <v>69.38444002109262</v>
      </c>
      <c r="G22" s="66"/>
    </row>
    <row r="23" spans="1:7" s="2" customFormat="1" ht="28.5">
      <c r="A23" s="17" t="s">
        <v>28</v>
      </c>
      <c r="B23" s="18">
        <f>B24+B34</f>
        <v>700089.562</v>
      </c>
      <c r="C23" s="18">
        <f>C24+C34</f>
        <v>468250.629</v>
      </c>
      <c r="D23" s="18">
        <f>D24+D34</f>
        <v>435710.37799999997</v>
      </c>
      <c r="E23" s="19">
        <f t="shared" si="0"/>
        <v>62.2363768365968</v>
      </c>
      <c r="F23" s="19">
        <f t="shared" si="1"/>
        <v>93.05067649999889</v>
      </c>
      <c r="G23" s="67"/>
    </row>
    <row r="24" spans="1:7" s="14" customFormat="1" ht="15">
      <c r="A24" s="30" t="s">
        <v>33</v>
      </c>
      <c r="B24" s="25">
        <v>696905.234</v>
      </c>
      <c r="C24" s="25">
        <v>465961.711</v>
      </c>
      <c r="D24" s="25">
        <v>434736.986</v>
      </c>
      <c r="E24" s="20">
        <f>SUM(D24)/B24*100</f>
        <v>62.38107633440445</v>
      </c>
      <c r="F24" s="20">
        <f>SUM(D24)/C24*100</f>
        <v>93.29886463568248</v>
      </c>
      <c r="G24" s="68"/>
    </row>
    <row r="25" spans="1:7" s="3" customFormat="1" ht="15">
      <c r="A25" s="12" t="s">
        <v>1</v>
      </c>
      <c r="B25" s="11">
        <v>11580.045</v>
      </c>
      <c r="C25" s="11">
        <v>9203.683</v>
      </c>
      <c r="D25" s="11">
        <f>8413.697+66.34</f>
        <v>8480.037</v>
      </c>
      <c r="E25" s="20">
        <f t="shared" si="0"/>
        <v>73.22974133520206</v>
      </c>
      <c r="F25" s="20">
        <f t="shared" si="1"/>
        <v>92.13743020049691</v>
      </c>
      <c r="G25" s="66"/>
    </row>
    <row r="26" spans="1:7" s="3" customFormat="1" ht="15">
      <c r="A26" s="12" t="s">
        <v>29</v>
      </c>
      <c r="B26" s="11">
        <v>4163.178</v>
      </c>
      <c r="C26" s="11">
        <v>3314.007</v>
      </c>
      <c r="D26" s="11">
        <f>3029.319+25.562</f>
        <v>3054.881</v>
      </c>
      <c r="E26" s="20">
        <f t="shared" si="0"/>
        <v>73.3785824194882</v>
      </c>
      <c r="F26" s="20">
        <f t="shared" si="1"/>
        <v>92.18088555636726</v>
      </c>
      <c r="G26" s="66"/>
    </row>
    <row r="27" spans="1:7" s="3" customFormat="1" ht="15">
      <c r="A27" s="12" t="s">
        <v>4</v>
      </c>
      <c r="B27" s="11">
        <v>77.62</v>
      </c>
      <c r="C27" s="11">
        <v>75.14</v>
      </c>
      <c r="D27" s="11">
        <v>75.14</v>
      </c>
      <c r="E27" s="20">
        <f t="shared" si="0"/>
        <v>96.80494717856222</v>
      </c>
      <c r="F27" s="20">
        <f t="shared" si="1"/>
        <v>100</v>
      </c>
      <c r="G27" s="66"/>
    </row>
    <row r="28" spans="1:7" s="3" customFormat="1" ht="15">
      <c r="A28" s="12" t="s">
        <v>5</v>
      </c>
      <c r="B28" s="11">
        <v>138.829</v>
      </c>
      <c r="C28" s="11">
        <v>123.26</v>
      </c>
      <c r="D28" s="11">
        <v>123.26</v>
      </c>
      <c r="E28" s="20">
        <f t="shared" si="0"/>
        <v>88.78548430083052</v>
      </c>
      <c r="F28" s="20">
        <f t="shared" si="1"/>
        <v>100</v>
      </c>
      <c r="G28" s="66"/>
    </row>
    <row r="29" spans="1:7" s="3" customFormat="1" ht="15">
      <c r="A29" s="12" t="s">
        <v>31</v>
      </c>
      <c r="B29" s="11">
        <v>1150.295</v>
      </c>
      <c r="C29" s="11">
        <v>778.821</v>
      </c>
      <c r="D29" s="11">
        <v>667.761</v>
      </c>
      <c r="E29" s="20">
        <f t="shared" si="0"/>
        <v>58.05128249709857</v>
      </c>
      <c r="F29" s="20">
        <f t="shared" si="1"/>
        <v>85.73998389873924</v>
      </c>
      <c r="G29" s="66"/>
    </row>
    <row r="30" spans="1:7" s="3" customFormat="1" ht="15">
      <c r="A30" s="12" t="s">
        <v>13</v>
      </c>
      <c r="B30" s="11">
        <f>SUM(B24)-B25-B26-B27-B28-B29</f>
        <v>679795.267</v>
      </c>
      <c r="C30" s="11">
        <f>SUM(C24)-C25-C26-C27-C28-C29</f>
        <v>452466.8</v>
      </c>
      <c r="D30" s="11">
        <f>SUM(D24)-D25-D26-D27-D28-D29</f>
        <v>422335.90699999995</v>
      </c>
      <c r="E30" s="20">
        <f t="shared" si="0"/>
        <v>62.12692666481892</v>
      </c>
      <c r="F30" s="20">
        <f t="shared" si="1"/>
        <v>93.34075052578442</v>
      </c>
      <c r="G30" s="66"/>
    </row>
    <row r="31" spans="1:7" s="3" customFormat="1" ht="15">
      <c r="A31" s="12" t="s">
        <v>20</v>
      </c>
      <c r="B31" s="11">
        <f>SUM(B32:B33)</f>
        <v>664987.23</v>
      </c>
      <c r="C31" s="11">
        <f>SUM(C32:C33)</f>
        <v>387033.371</v>
      </c>
      <c r="D31" s="11">
        <f>SUM(D32:D33)</f>
        <v>372859.15800000005</v>
      </c>
      <c r="E31" s="20">
        <f>SUM(D31)/B31*100</f>
        <v>56.07012303078363</v>
      </c>
      <c r="F31" s="20">
        <f>SUM(D31)/C31*100</f>
        <v>96.33772845907906</v>
      </c>
      <c r="G31" s="66"/>
    </row>
    <row r="32" spans="1:7" s="3" customFormat="1" ht="30">
      <c r="A32" s="13" t="s">
        <v>24</v>
      </c>
      <c r="B32" s="11">
        <v>431369.7</v>
      </c>
      <c r="C32" s="11">
        <v>307877.823</v>
      </c>
      <c r="D32" s="11">
        <v>301895.449</v>
      </c>
      <c r="E32" s="20">
        <f>SUM(D32)/B32*100</f>
        <v>69.98531630756635</v>
      </c>
      <c r="F32" s="20">
        <f>SUM(D32)/C32*100</f>
        <v>98.0568999930859</v>
      </c>
      <c r="G32" s="66"/>
    </row>
    <row r="33" spans="1:7" s="3" customFormat="1" ht="15">
      <c r="A33" s="13" t="s">
        <v>21</v>
      </c>
      <c r="B33" s="11">
        <v>233617.53</v>
      </c>
      <c r="C33" s="11">
        <v>79155.548</v>
      </c>
      <c r="D33" s="11">
        <v>70963.709</v>
      </c>
      <c r="E33" s="20">
        <f>SUM(D33)/B33*100</f>
        <v>30.376020583729314</v>
      </c>
      <c r="F33" s="20">
        <f>SUM(D33)/C33*100</f>
        <v>89.65096041025451</v>
      </c>
      <c r="G33" s="66"/>
    </row>
    <row r="34" spans="1:7" s="3" customFormat="1" ht="15">
      <c r="A34" s="30" t="s">
        <v>14</v>
      </c>
      <c r="B34" s="25">
        <f>2396.328+788</f>
        <v>3184.328</v>
      </c>
      <c r="C34" s="25">
        <f>788+1500.918</f>
        <v>2288.9179999999997</v>
      </c>
      <c r="D34" s="25">
        <f>479.99+493.402</f>
        <v>973.392</v>
      </c>
      <c r="E34" s="20">
        <f>SUM(D34)/B34*100</f>
        <v>30.568207797689183</v>
      </c>
      <c r="F34" s="20">
        <f>SUM(D34)/C34*100</f>
        <v>42.526294083055845</v>
      </c>
      <c r="G34" s="66"/>
    </row>
    <row r="35" spans="1:7" s="3" customFormat="1" ht="15">
      <c r="A35" s="12" t="s">
        <v>68</v>
      </c>
      <c r="B35" s="11">
        <v>156.528</v>
      </c>
      <c r="C35" s="11">
        <v>38.50684</v>
      </c>
      <c r="D35" s="11">
        <v>38.507</v>
      </c>
      <c r="E35" s="20">
        <f>SUM(D35)/B35*100</f>
        <v>24.600710416027805</v>
      </c>
      <c r="F35" s="20">
        <f>SUM(D35)/C35*100</f>
        <v>100.00041551059499</v>
      </c>
      <c r="G35" s="66"/>
    </row>
    <row r="36" spans="1:7" s="2" customFormat="1" ht="14.25">
      <c r="A36" s="17" t="s">
        <v>7</v>
      </c>
      <c r="B36" s="18">
        <f>B37+B42</f>
        <v>96866.24799999999</v>
      </c>
      <c r="C36" s="18">
        <f>C37+C42</f>
        <v>79188.781</v>
      </c>
      <c r="D36" s="18">
        <f>D37+D42</f>
        <v>63455.815</v>
      </c>
      <c r="E36" s="19">
        <f t="shared" si="0"/>
        <v>65.50869504102194</v>
      </c>
      <c r="F36" s="19">
        <f t="shared" si="1"/>
        <v>80.13232960360888</v>
      </c>
      <c r="G36" s="67"/>
    </row>
    <row r="37" spans="1:7" s="14" customFormat="1" ht="15">
      <c r="A37" s="30" t="s">
        <v>33</v>
      </c>
      <c r="B37" s="25">
        <v>77949.817</v>
      </c>
      <c r="C37" s="25">
        <v>61772.35</v>
      </c>
      <c r="D37" s="25">
        <v>55303.483</v>
      </c>
      <c r="E37" s="20">
        <f>SUM(D37)/B37*100</f>
        <v>70.9475469326631</v>
      </c>
      <c r="F37" s="20">
        <f>SUM(D37)/C37*100</f>
        <v>89.52789233370594</v>
      </c>
      <c r="G37" s="68"/>
    </row>
    <row r="38" spans="1:7" s="3" customFormat="1" ht="15">
      <c r="A38" s="12" t="s">
        <v>1</v>
      </c>
      <c r="B38" s="11">
        <v>33097.391</v>
      </c>
      <c r="C38" s="11">
        <v>27276.143</v>
      </c>
      <c r="D38" s="11">
        <f>24863.813+21.7</f>
        <v>24885.513</v>
      </c>
      <c r="E38" s="20">
        <f t="shared" si="0"/>
        <v>75.18874523976828</v>
      </c>
      <c r="F38" s="20">
        <f t="shared" si="1"/>
        <v>91.23545436757682</v>
      </c>
      <c r="G38" s="66"/>
    </row>
    <row r="39" spans="1:7" s="3" customFormat="1" ht="15">
      <c r="A39" s="12" t="s">
        <v>29</v>
      </c>
      <c r="B39" s="11">
        <v>12086.354</v>
      </c>
      <c r="C39" s="11">
        <v>10004.151</v>
      </c>
      <c r="D39" s="11">
        <f>8989.382+7.757</f>
        <v>8997.139</v>
      </c>
      <c r="E39" s="20">
        <f t="shared" si="0"/>
        <v>74.44047228800348</v>
      </c>
      <c r="F39" s="20">
        <f t="shared" si="1"/>
        <v>89.93405837236962</v>
      </c>
      <c r="G39" s="66"/>
    </row>
    <row r="40" spans="1:7" s="3" customFormat="1" ht="15">
      <c r="A40" s="12" t="s">
        <v>31</v>
      </c>
      <c r="B40" s="11">
        <v>5631.026</v>
      </c>
      <c r="C40" s="11">
        <v>3594.341</v>
      </c>
      <c r="D40" s="11">
        <v>3050.093</v>
      </c>
      <c r="E40" s="20">
        <f t="shared" si="0"/>
        <v>54.16584828413152</v>
      </c>
      <c r="F40" s="20">
        <f t="shared" si="1"/>
        <v>84.8581979283546</v>
      </c>
      <c r="G40" s="66"/>
    </row>
    <row r="41" spans="1:7" s="3" customFormat="1" ht="15">
      <c r="A41" s="12" t="s">
        <v>13</v>
      </c>
      <c r="B41" s="11">
        <f>SUM(B37)-B38-B39-B40</f>
        <v>27135.045999999995</v>
      </c>
      <c r="C41" s="11">
        <f>SUM(C37)-C38-C39-C40</f>
        <v>20897.714999999997</v>
      </c>
      <c r="D41" s="11">
        <f>SUM(D37)-D38-D39-D40</f>
        <v>18370.738</v>
      </c>
      <c r="E41" s="20">
        <f t="shared" si="0"/>
        <v>67.70114928126529</v>
      </c>
      <c r="F41" s="20">
        <f t="shared" si="1"/>
        <v>87.90787892360483</v>
      </c>
      <c r="G41" s="66"/>
    </row>
    <row r="42" spans="1:7" s="3" customFormat="1" ht="15">
      <c r="A42" s="30" t="s">
        <v>14</v>
      </c>
      <c r="B42" s="25">
        <f>8951+9965.431</f>
        <v>18916.431</v>
      </c>
      <c r="C42" s="25">
        <v>17416.431</v>
      </c>
      <c r="D42" s="25">
        <f>8099.332+53</f>
        <v>8152.332</v>
      </c>
      <c r="E42" s="20">
        <f t="shared" si="0"/>
        <v>43.096565097295574</v>
      </c>
      <c r="F42" s="20">
        <f t="shared" si="1"/>
        <v>46.80828121444629</v>
      </c>
      <c r="G42" s="66"/>
    </row>
    <row r="43" spans="1:7" s="2" customFormat="1" ht="14.25">
      <c r="A43" s="17" t="s">
        <v>8</v>
      </c>
      <c r="B43" s="18">
        <f>B44+B49</f>
        <v>45876.041</v>
      </c>
      <c r="C43" s="18">
        <f>C44+C49</f>
        <v>38003.026</v>
      </c>
      <c r="D43" s="18">
        <f>D44+D49</f>
        <v>31905.071999999996</v>
      </c>
      <c r="E43" s="19">
        <f t="shared" si="0"/>
        <v>69.54626272131895</v>
      </c>
      <c r="F43" s="19">
        <f t="shared" si="1"/>
        <v>83.95403039747413</v>
      </c>
      <c r="G43" s="67"/>
    </row>
    <row r="44" spans="1:7" s="14" customFormat="1" ht="15">
      <c r="A44" s="30" t="s">
        <v>33</v>
      </c>
      <c r="B44" s="25">
        <v>40360.364</v>
      </c>
      <c r="C44" s="25">
        <v>32487.349</v>
      </c>
      <c r="D44" s="25">
        <f>28852.064+0.337</f>
        <v>28852.400999999998</v>
      </c>
      <c r="E44" s="20">
        <f>SUM(D44)/B44*100</f>
        <v>71.48696924537151</v>
      </c>
      <c r="F44" s="20">
        <f>SUM(D44)/C44*100</f>
        <v>88.81118924169527</v>
      </c>
      <c r="G44" s="68"/>
    </row>
    <row r="45" spans="1:7" s="3" customFormat="1" ht="15">
      <c r="A45" s="12" t="s">
        <v>1</v>
      </c>
      <c r="B45" s="11">
        <v>20371.66</v>
      </c>
      <c r="C45" s="11">
        <v>16423.406</v>
      </c>
      <c r="D45" s="11">
        <f>14596.907+229.478</f>
        <v>14826.384999999998</v>
      </c>
      <c r="E45" s="20">
        <f t="shared" si="0"/>
        <v>72.77946421646541</v>
      </c>
      <c r="F45" s="20">
        <f t="shared" si="1"/>
        <v>90.27594519675151</v>
      </c>
      <c r="G45" s="66"/>
    </row>
    <row r="46" spans="1:7" s="3" customFormat="1" ht="15">
      <c r="A46" s="12" t="s">
        <v>29</v>
      </c>
      <c r="B46" s="11">
        <v>7318.765</v>
      </c>
      <c r="C46" s="11">
        <v>5903.089</v>
      </c>
      <c r="D46" s="11">
        <f>5252.652+79.689</f>
        <v>5332.341</v>
      </c>
      <c r="E46" s="20">
        <f t="shared" si="0"/>
        <v>72.85848090490677</v>
      </c>
      <c r="F46" s="20">
        <f t="shared" si="1"/>
        <v>90.33136718758603</v>
      </c>
      <c r="G46" s="66"/>
    </row>
    <row r="47" spans="1:7" s="3" customFormat="1" ht="15">
      <c r="A47" s="12" t="s">
        <v>31</v>
      </c>
      <c r="B47" s="11">
        <v>3303.442</v>
      </c>
      <c r="C47" s="11">
        <v>2283.08</v>
      </c>
      <c r="D47" s="11">
        <v>1782.116</v>
      </c>
      <c r="E47" s="20">
        <f t="shared" si="0"/>
        <v>53.94724653861034</v>
      </c>
      <c r="F47" s="20">
        <f t="shared" si="1"/>
        <v>78.05753631059797</v>
      </c>
      <c r="G47" s="66"/>
    </row>
    <row r="48" spans="1:7" s="3" customFormat="1" ht="15">
      <c r="A48" s="12" t="s">
        <v>13</v>
      </c>
      <c r="B48" s="11">
        <f>SUM(B44)-B45-B46-B47</f>
        <v>9366.497000000003</v>
      </c>
      <c r="C48" s="11">
        <f>SUM(C44)-C45-C46-C47</f>
        <v>7877.773999999999</v>
      </c>
      <c r="D48" s="11">
        <f>SUM(D44)-D45-D46-D47</f>
        <v>6911.558999999999</v>
      </c>
      <c r="E48" s="20">
        <f t="shared" si="0"/>
        <v>73.79022274816292</v>
      </c>
      <c r="F48" s="20">
        <f t="shared" si="1"/>
        <v>87.73492359643727</v>
      </c>
      <c r="G48" s="66"/>
    </row>
    <row r="49" spans="1:7" s="3" customFormat="1" ht="15">
      <c r="A49" s="30" t="s">
        <v>14</v>
      </c>
      <c r="B49" s="25">
        <f>2828.9+2686.777</f>
        <v>5515.677</v>
      </c>
      <c r="C49" s="25">
        <f>2686.777+2828.9</f>
        <v>5515.677</v>
      </c>
      <c r="D49" s="25">
        <f>2972.671+80</f>
        <v>3052.671</v>
      </c>
      <c r="E49" s="20">
        <f t="shared" si="0"/>
        <v>55.34535470441797</v>
      </c>
      <c r="F49" s="20">
        <f t="shared" si="1"/>
        <v>55.34535470441797</v>
      </c>
      <c r="G49" s="66"/>
    </row>
    <row r="50" spans="1:7" s="3" customFormat="1" ht="14.25">
      <c r="A50" s="17" t="s">
        <v>0</v>
      </c>
      <c r="B50" s="18">
        <f>B51+B56</f>
        <v>79201.18000000001</v>
      </c>
      <c r="C50" s="18">
        <f>C51+C56</f>
        <v>65455.899000000005</v>
      </c>
      <c r="D50" s="18">
        <f>D51+D56</f>
        <v>57175.268</v>
      </c>
      <c r="E50" s="19">
        <f t="shared" si="0"/>
        <v>72.1899193926151</v>
      </c>
      <c r="F50" s="19">
        <f t="shared" si="1"/>
        <v>87.34929757820605</v>
      </c>
      <c r="G50" s="66"/>
    </row>
    <row r="51" spans="1:7" s="3" customFormat="1" ht="15">
      <c r="A51" s="30" t="s">
        <v>33</v>
      </c>
      <c r="B51" s="25">
        <v>74795.85</v>
      </c>
      <c r="C51" s="25">
        <v>61050.569</v>
      </c>
      <c r="D51" s="25">
        <v>54580.134</v>
      </c>
      <c r="E51" s="20">
        <f>SUM(D51)/B51*100</f>
        <v>72.97214217098943</v>
      </c>
      <c r="F51" s="20">
        <f>SUM(D51)/C51*100</f>
        <v>89.40151565172144</v>
      </c>
      <c r="G51" s="66"/>
    </row>
    <row r="52" spans="1:7" s="3" customFormat="1" ht="15">
      <c r="A52" s="12" t="s">
        <v>1</v>
      </c>
      <c r="B52" s="11">
        <v>41542.044</v>
      </c>
      <c r="C52" s="11">
        <v>33738.69</v>
      </c>
      <c r="D52" s="11">
        <v>30938.598</v>
      </c>
      <c r="E52" s="20">
        <f t="shared" si="0"/>
        <v>74.47538691163102</v>
      </c>
      <c r="F52" s="20">
        <f t="shared" si="1"/>
        <v>91.70064990667983</v>
      </c>
      <c r="G52" s="66"/>
    </row>
    <row r="53" spans="1:7" s="3" customFormat="1" ht="15">
      <c r="A53" s="12" t="s">
        <v>29</v>
      </c>
      <c r="B53" s="11">
        <v>15008.932</v>
      </c>
      <c r="C53" s="11">
        <v>12198.509</v>
      </c>
      <c r="D53" s="11">
        <v>11201.881</v>
      </c>
      <c r="E53" s="20">
        <f t="shared" si="0"/>
        <v>74.63476415243935</v>
      </c>
      <c r="F53" s="20">
        <f t="shared" si="1"/>
        <v>91.82991954180629</v>
      </c>
      <c r="G53" s="66"/>
    </row>
    <row r="54" spans="1:7" s="3" customFormat="1" ht="15">
      <c r="A54" s="12" t="s">
        <v>31</v>
      </c>
      <c r="B54" s="11">
        <v>4210.676</v>
      </c>
      <c r="C54" s="11">
        <v>2989.626</v>
      </c>
      <c r="D54" s="11">
        <v>2453.119</v>
      </c>
      <c r="E54" s="20">
        <f t="shared" si="0"/>
        <v>58.25950512459281</v>
      </c>
      <c r="F54" s="20">
        <f t="shared" si="1"/>
        <v>82.05437737027977</v>
      </c>
      <c r="G54" s="66"/>
    </row>
    <row r="55" spans="1:7" s="3" customFormat="1" ht="15">
      <c r="A55" s="12" t="s">
        <v>13</v>
      </c>
      <c r="B55" s="11">
        <f>SUM(B51)-B52-B53-B54</f>
        <v>14034.198000000004</v>
      </c>
      <c r="C55" s="11">
        <f>SUM(C51)-C52-C53-C54</f>
        <v>12123.744</v>
      </c>
      <c r="D55" s="11">
        <f>SUM(D51)-D52-D53-D54</f>
        <v>9986.535999999996</v>
      </c>
      <c r="E55" s="20">
        <f t="shared" si="0"/>
        <v>71.15857992027756</v>
      </c>
      <c r="F55" s="20">
        <f t="shared" si="1"/>
        <v>82.37171619592097</v>
      </c>
      <c r="G55" s="66"/>
    </row>
    <row r="56" spans="1:7" s="3" customFormat="1" ht="15">
      <c r="A56" s="30" t="s">
        <v>14</v>
      </c>
      <c r="B56" s="25">
        <f>200+4205.33</f>
        <v>4405.33</v>
      </c>
      <c r="C56" s="25">
        <f>200+4205.33</f>
        <v>4405.33</v>
      </c>
      <c r="D56" s="25">
        <v>2595.134</v>
      </c>
      <c r="E56" s="20">
        <f t="shared" si="0"/>
        <v>58.9089580122261</v>
      </c>
      <c r="F56" s="20">
        <f t="shared" si="1"/>
        <v>58.9089580122261</v>
      </c>
      <c r="G56" s="66"/>
    </row>
    <row r="57" spans="1:7" s="3" customFormat="1" ht="14.25" customHeight="1">
      <c r="A57" s="21" t="s">
        <v>9</v>
      </c>
      <c r="B57" s="22">
        <f>B58+B63</f>
        <v>294306.634</v>
      </c>
      <c r="C57" s="22">
        <f>C58+C63</f>
        <v>253976.568</v>
      </c>
      <c r="D57" s="22">
        <f>D58+D63</f>
        <v>182220.659</v>
      </c>
      <c r="E57" s="19">
        <f t="shared" si="0"/>
        <v>61.915240075763975</v>
      </c>
      <c r="F57" s="19">
        <f t="shared" si="1"/>
        <v>71.7470357344147</v>
      </c>
      <c r="G57" s="66"/>
    </row>
    <row r="58" spans="1:7" s="3" customFormat="1" ht="14.25" customHeight="1">
      <c r="A58" s="30" t="s">
        <v>33</v>
      </c>
      <c r="B58" s="25">
        <f>158681.628+35861.8</f>
        <v>194543.428</v>
      </c>
      <c r="C58" s="25">
        <f>137201.462+27403.9</f>
        <v>164605.362</v>
      </c>
      <c r="D58" s="25">
        <f>111862.346+1135.44+10791.202</f>
        <v>123788.98800000001</v>
      </c>
      <c r="E58" s="20">
        <f>SUM(D58)/B58*100</f>
        <v>63.63051647265103</v>
      </c>
      <c r="F58" s="20">
        <f>SUM(D58)/C58*100</f>
        <v>75.20349671233676</v>
      </c>
      <c r="G58" s="66"/>
    </row>
    <row r="59" spans="1:7" s="3" customFormat="1" ht="15">
      <c r="A59" s="12" t="s">
        <v>1</v>
      </c>
      <c r="B59" s="11">
        <v>423.637</v>
      </c>
      <c r="C59" s="11">
        <v>386.933</v>
      </c>
      <c r="D59" s="11">
        <v>306.374</v>
      </c>
      <c r="E59" s="20">
        <f t="shared" si="0"/>
        <v>72.31993428336052</v>
      </c>
      <c r="F59" s="20">
        <f t="shared" si="1"/>
        <v>79.18011645426986</v>
      </c>
      <c r="G59" s="66"/>
    </row>
    <row r="60" spans="1:7" s="3" customFormat="1" ht="15">
      <c r="A60" s="12" t="s">
        <v>29</v>
      </c>
      <c r="B60" s="11">
        <v>153.961</v>
      </c>
      <c r="C60" s="11">
        <v>140.532</v>
      </c>
      <c r="D60" s="11">
        <v>108.473</v>
      </c>
      <c r="E60" s="20">
        <f t="shared" si="0"/>
        <v>70.45485545040626</v>
      </c>
      <c r="F60" s="20">
        <f t="shared" si="1"/>
        <v>77.18740215751572</v>
      </c>
      <c r="G60" s="66"/>
    </row>
    <row r="61" spans="1:7" s="3" customFormat="1" ht="15">
      <c r="A61" s="12" t="s">
        <v>31</v>
      </c>
      <c r="B61" s="11">
        <v>15891.008</v>
      </c>
      <c r="C61" s="11">
        <v>12304.438</v>
      </c>
      <c r="D61" s="11">
        <f>10239.148+342.937</f>
        <v>10582.085</v>
      </c>
      <c r="E61" s="20">
        <f t="shared" si="0"/>
        <v>66.59165359428427</v>
      </c>
      <c r="F61" s="20">
        <f t="shared" si="1"/>
        <v>86.00218067659814</v>
      </c>
      <c r="G61" s="66"/>
    </row>
    <row r="62" spans="1:7" s="3" customFormat="1" ht="15">
      <c r="A62" s="12" t="s">
        <v>13</v>
      </c>
      <c r="B62" s="11">
        <f>SUM(B58)-B59-B60-B61</f>
        <v>178074.82200000001</v>
      </c>
      <c r="C62" s="11">
        <f>SUM(C58)-C59-C60-C61</f>
        <v>151773.459</v>
      </c>
      <c r="D62" s="11">
        <f>SUM(D58)-D59-D60-D61</f>
        <v>112792.05600000001</v>
      </c>
      <c r="E62" s="20">
        <f t="shared" si="0"/>
        <v>63.33969885984219</v>
      </c>
      <c r="F62" s="20">
        <f t="shared" si="1"/>
        <v>74.31606075473314</v>
      </c>
      <c r="G62" s="66"/>
    </row>
    <row r="63" spans="1:7" s="3" customFormat="1" ht="15">
      <c r="A63" s="30" t="s">
        <v>14</v>
      </c>
      <c r="B63" s="25">
        <f>61251.718-35861.8+74373.288</f>
        <v>99763.206</v>
      </c>
      <c r="C63" s="25">
        <f>51793.818-27403.9+64981.288</f>
        <v>89371.206</v>
      </c>
      <c r="D63" s="25">
        <f>58187.316+244.355</f>
        <v>58431.671</v>
      </c>
      <c r="E63" s="20">
        <f t="shared" si="0"/>
        <v>58.570362103238736</v>
      </c>
      <c r="F63" s="20">
        <f t="shared" si="1"/>
        <v>65.38086886731729</v>
      </c>
      <c r="G63" s="66"/>
    </row>
    <row r="64" spans="1:7" s="3" customFormat="1" ht="17.25" customHeight="1">
      <c r="A64" s="21" t="s">
        <v>23</v>
      </c>
      <c r="B64" s="22">
        <f>SUM(B65)</f>
        <v>83300.756</v>
      </c>
      <c r="C64" s="22">
        <f>SUM(C65)</f>
        <v>68227.658</v>
      </c>
      <c r="D64" s="22">
        <f>SUM(D65)</f>
        <v>24978.07</v>
      </c>
      <c r="E64" s="19">
        <f t="shared" si="0"/>
        <v>29.985406134849484</v>
      </c>
      <c r="F64" s="19">
        <f t="shared" si="1"/>
        <v>36.609889203583684</v>
      </c>
      <c r="G64" s="66"/>
    </row>
    <row r="65" spans="1:7" s="3" customFormat="1" ht="15">
      <c r="A65" s="30" t="s">
        <v>14</v>
      </c>
      <c r="B65" s="25">
        <f>19538.959+63761.797</f>
        <v>83300.756</v>
      </c>
      <c r="C65" s="25">
        <f>54564.264+13663.394</f>
        <v>68227.658</v>
      </c>
      <c r="D65" s="25">
        <f>24546.135+431.935</f>
        <v>24978.07</v>
      </c>
      <c r="E65" s="20">
        <f t="shared" si="0"/>
        <v>29.985406134849484</v>
      </c>
      <c r="F65" s="20">
        <f t="shared" si="1"/>
        <v>36.609889203583684</v>
      </c>
      <c r="G65" s="66"/>
    </row>
    <row r="66" spans="1:7" s="3" customFormat="1" ht="15" customHeight="1">
      <c r="A66" s="23" t="s">
        <v>18</v>
      </c>
      <c r="B66" s="22">
        <f>SUM(B67:B68)</f>
        <v>152245.844</v>
      </c>
      <c r="C66" s="22">
        <f>SUM(C67:C68)</f>
        <v>140250.19700000001</v>
      </c>
      <c r="D66" s="22">
        <f>SUM(D67:D68)</f>
        <v>113721.36600000001</v>
      </c>
      <c r="E66" s="19">
        <f t="shared" si="0"/>
        <v>74.69587544209088</v>
      </c>
      <c r="F66" s="19">
        <f t="shared" si="1"/>
        <v>81.08463904688847</v>
      </c>
      <c r="G66" s="66"/>
    </row>
    <row r="67" spans="1:7" s="3" customFormat="1" ht="15">
      <c r="A67" s="30" t="s">
        <v>13</v>
      </c>
      <c r="B67" s="25">
        <v>59582.369</v>
      </c>
      <c r="C67" s="25">
        <v>53823.222</v>
      </c>
      <c r="D67" s="25">
        <v>49195.58</v>
      </c>
      <c r="E67" s="20">
        <f t="shared" si="0"/>
        <v>82.56734471232589</v>
      </c>
      <c r="F67" s="20">
        <f t="shared" si="1"/>
        <v>91.40214608482562</v>
      </c>
      <c r="G67" s="66"/>
    </row>
    <row r="68" spans="1:7" s="3" customFormat="1" ht="15">
      <c r="A68" s="30" t="s">
        <v>14</v>
      </c>
      <c r="B68" s="25">
        <f>40309.086+52354.389</f>
        <v>92663.475</v>
      </c>
      <c r="C68" s="25">
        <f>51554.389+34872.586</f>
        <v>86426.975</v>
      </c>
      <c r="D68" s="25">
        <v>64525.786</v>
      </c>
      <c r="E68" s="20">
        <f t="shared" si="0"/>
        <v>69.63454154940769</v>
      </c>
      <c r="F68" s="20">
        <f t="shared" si="1"/>
        <v>74.65931325260429</v>
      </c>
      <c r="G68" s="66"/>
    </row>
    <row r="69" spans="1:7" s="3" customFormat="1" ht="60.75" customHeight="1">
      <c r="A69" s="24" t="s">
        <v>22</v>
      </c>
      <c r="B69" s="22">
        <f>SUM(B70:B70)</f>
        <v>46206</v>
      </c>
      <c r="C69" s="22">
        <f>SUM(C70:C70)</f>
        <v>38889.075</v>
      </c>
      <c r="D69" s="22">
        <f>SUM(D70:D70)</f>
        <v>29902.9</v>
      </c>
      <c r="E69" s="19">
        <f t="shared" si="0"/>
        <v>64.71648703631563</v>
      </c>
      <c r="F69" s="19">
        <f t="shared" si="1"/>
        <v>76.89280344158354</v>
      </c>
      <c r="G69" s="66"/>
    </row>
    <row r="70" spans="1:7" s="3" customFormat="1" ht="15">
      <c r="A70" s="30" t="s">
        <v>14</v>
      </c>
      <c r="B70" s="25">
        <v>46206</v>
      </c>
      <c r="C70" s="25">
        <f>26019.075+12870</f>
        <v>38889.075</v>
      </c>
      <c r="D70" s="25">
        <v>29902.9</v>
      </c>
      <c r="E70" s="20">
        <f t="shared" si="0"/>
        <v>64.71648703631563</v>
      </c>
      <c r="F70" s="20">
        <f t="shared" si="1"/>
        <v>76.89280344158354</v>
      </c>
      <c r="G70" s="66"/>
    </row>
    <row r="71" spans="1:7" s="3" customFormat="1" ht="42.75">
      <c r="A71" s="23" t="s">
        <v>10</v>
      </c>
      <c r="B71" s="18">
        <f>SUM(B72)+B75</f>
        <v>6808.700000000001</v>
      </c>
      <c r="C71" s="18">
        <f>SUM(C72)+C75</f>
        <v>6178.6759999999995</v>
      </c>
      <c r="D71" s="18">
        <f>SUM(D72)+D75</f>
        <v>3894.742</v>
      </c>
      <c r="E71" s="19">
        <f t="shared" si="0"/>
        <v>57.202432182354926</v>
      </c>
      <c r="F71" s="19">
        <f t="shared" si="1"/>
        <v>63.03521984321561</v>
      </c>
      <c r="G71" s="66"/>
    </row>
    <row r="72" spans="1:7" s="3" customFormat="1" ht="15">
      <c r="A72" s="30" t="s">
        <v>33</v>
      </c>
      <c r="B72" s="25">
        <v>5036.657</v>
      </c>
      <c r="C72" s="25">
        <v>4406.633</v>
      </c>
      <c r="D72" s="25">
        <v>3894.742</v>
      </c>
      <c r="E72" s="20">
        <f>SUM(D72)/B72*100</f>
        <v>77.32791810123263</v>
      </c>
      <c r="F72" s="20">
        <f>SUM(D72)/C72*100</f>
        <v>88.38362532119194</v>
      </c>
      <c r="G72" s="66"/>
    </row>
    <row r="73" spans="1:7" s="3" customFormat="1" ht="15">
      <c r="A73" s="12" t="s">
        <v>31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  <c r="G73" s="66"/>
    </row>
    <row r="74" spans="1:7" s="3" customFormat="1" ht="15">
      <c r="A74" s="12" t="s">
        <v>13</v>
      </c>
      <c r="B74" s="11">
        <f>SUM(B71)-B73</f>
        <v>6802.628000000001</v>
      </c>
      <c r="C74" s="11">
        <f>SUM(C71)-C73</f>
        <v>6174.004</v>
      </c>
      <c r="D74" s="11">
        <f>SUM(D71)-D73</f>
        <v>3893.2520000000004</v>
      </c>
      <c r="E74" s="20">
        <f aca="true" t="shared" si="2" ref="E74:E92">SUM(D74)/B74*100</f>
        <v>57.23158755704413</v>
      </c>
      <c r="F74" s="20">
        <f aca="true" t="shared" si="3" ref="F74:F92">SUM(D74)/C74*100</f>
        <v>63.05878648604699</v>
      </c>
      <c r="G74" s="66"/>
    </row>
    <row r="75" spans="1:7" s="3" customFormat="1" ht="15">
      <c r="A75" s="30" t="s">
        <v>14</v>
      </c>
      <c r="B75" s="25">
        <f>1700+72.043</f>
        <v>1772.0430000000001</v>
      </c>
      <c r="C75" s="25">
        <f>1700+72.043</f>
        <v>1772.0430000000001</v>
      </c>
      <c r="D75" s="25"/>
      <c r="E75" s="20">
        <f t="shared" si="2"/>
        <v>0</v>
      </c>
      <c r="F75" s="20">
        <f t="shared" si="3"/>
        <v>0</v>
      </c>
      <c r="G75" s="66"/>
    </row>
    <row r="76" spans="1:7" s="3" customFormat="1" ht="15">
      <c r="A76" s="23" t="s">
        <v>11</v>
      </c>
      <c r="B76" s="25">
        <v>2500</v>
      </c>
      <c r="C76" s="25">
        <v>1000</v>
      </c>
      <c r="D76" s="25"/>
      <c r="E76" s="19">
        <f t="shared" si="2"/>
        <v>0</v>
      </c>
      <c r="F76" s="19"/>
      <c r="G76" s="66"/>
    </row>
    <row r="77" spans="1:7" s="3" customFormat="1" ht="15">
      <c r="A77" s="23" t="s">
        <v>12</v>
      </c>
      <c r="B77" s="25">
        <v>18418.4</v>
      </c>
      <c r="C77" s="25">
        <v>15348.8</v>
      </c>
      <c r="D77" s="25">
        <v>14325.6</v>
      </c>
      <c r="E77" s="19">
        <f t="shared" si="2"/>
        <v>77.7787429961343</v>
      </c>
      <c r="F77" s="19">
        <f t="shared" si="3"/>
        <v>93.33368080892318</v>
      </c>
      <c r="G77" s="66"/>
    </row>
    <row r="78" spans="1:7" s="2" customFormat="1" ht="14.25">
      <c r="A78" s="17" t="s">
        <v>19</v>
      </c>
      <c r="B78" s="18">
        <f>SUM(B79)+B83</f>
        <v>12283.643</v>
      </c>
      <c r="C78" s="18">
        <f>SUM(C79)+C83</f>
        <v>11381.921999999999</v>
      </c>
      <c r="D78" s="18">
        <f>SUM(D79)+D83</f>
        <v>6743.94257</v>
      </c>
      <c r="E78" s="19">
        <f t="shared" si="2"/>
        <v>54.90181186477009</v>
      </c>
      <c r="F78" s="19">
        <f t="shared" si="3"/>
        <v>59.2513511338419</v>
      </c>
      <c r="G78" s="67"/>
    </row>
    <row r="79" spans="1:7" s="2" customFormat="1" ht="15">
      <c r="A79" s="30" t="s">
        <v>33</v>
      </c>
      <c r="B79" s="25">
        <f>8440.456-571.501+470.8+119+344.868</f>
        <v>8803.623</v>
      </c>
      <c r="C79" s="25">
        <f>3736.424+3837.777+327.701</f>
        <v>7901.902</v>
      </c>
      <c r="D79" s="25">
        <f>1673.88631+744.93026-565.125+618.093+746.943+736.773</f>
        <v>3955.50057</v>
      </c>
      <c r="E79" s="20">
        <f>SUM(D79)/B79*100</f>
        <v>44.930372075224035</v>
      </c>
      <c r="F79" s="20">
        <f>SUM(D79)/C79*100</f>
        <v>50.05757563179093</v>
      </c>
      <c r="G79" s="67"/>
    </row>
    <row r="80" spans="1:7" s="3" customFormat="1" ht="15">
      <c r="A80" s="12" t="s">
        <v>1</v>
      </c>
      <c r="B80" s="11">
        <f>98.3+1977.142+251.502</f>
        <v>2326.944</v>
      </c>
      <c r="C80" s="11">
        <f>98.3+1968.388+238.717</f>
        <v>2305.405</v>
      </c>
      <c r="D80" s="11">
        <f>77.317+14.327+15.863</f>
        <v>107.50699999999999</v>
      </c>
      <c r="E80" s="20">
        <f t="shared" si="2"/>
        <v>4.6200939945267265</v>
      </c>
      <c r="F80" s="20">
        <f t="shared" si="3"/>
        <v>4.663258733281136</v>
      </c>
      <c r="G80" s="66"/>
    </row>
    <row r="81" spans="1:7" s="3" customFormat="1" ht="15">
      <c r="A81" s="12" t="s">
        <v>29</v>
      </c>
      <c r="B81" s="11">
        <f>33.7+716.409+91.083</f>
        <v>841.192</v>
      </c>
      <c r="C81" s="11">
        <f>33.7+713.371+86.7</f>
        <v>833.7710000000001</v>
      </c>
      <c r="D81" s="11">
        <f>26.829+4.971+5.507</f>
        <v>37.307</v>
      </c>
      <c r="E81" s="20">
        <f t="shared" si="2"/>
        <v>4.435016024878982</v>
      </c>
      <c r="F81" s="20">
        <f t="shared" si="3"/>
        <v>4.474489997853127</v>
      </c>
      <c r="G81" s="66"/>
    </row>
    <row r="82" spans="1:7" s="3" customFormat="1" ht="15">
      <c r="A82" s="12" t="s">
        <v>13</v>
      </c>
      <c r="B82" s="11">
        <f>SUM(B79)-B80-B81</f>
        <v>5635.487</v>
      </c>
      <c r="C82" s="11">
        <f>SUM(C79)-C80-C81</f>
        <v>4762.726</v>
      </c>
      <c r="D82" s="11">
        <f>SUM(D79)-D80-D81</f>
        <v>3810.6865700000003</v>
      </c>
      <c r="E82" s="20">
        <f t="shared" si="2"/>
        <v>67.61947228340692</v>
      </c>
      <c r="F82" s="20">
        <f t="shared" si="3"/>
        <v>80.01061933858888</v>
      </c>
      <c r="G82" s="66"/>
    </row>
    <row r="83" spans="1:7" s="3" customFormat="1" ht="15">
      <c r="A83" s="30" t="s">
        <v>14</v>
      </c>
      <c r="B83" s="25">
        <f>3330.394+149.626</f>
        <v>3480.02</v>
      </c>
      <c r="C83" s="25">
        <f>3090.394+389.626</f>
        <v>3480.0199999999995</v>
      </c>
      <c r="D83" s="25">
        <v>2788.442</v>
      </c>
      <c r="E83" s="20">
        <f t="shared" si="2"/>
        <v>80.12718317710818</v>
      </c>
      <c r="F83" s="20">
        <f t="shared" si="3"/>
        <v>80.12718317710818</v>
      </c>
      <c r="G83" s="66"/>
    </row>
    <row r="84" spans="1:7" s="3" customFormat="1" ht="40.5">
      <c r="A84" s="26" t="s">
        <v>25</v>
      </c>
      <c r="B84" s="18">
        <f>2159.137+16186.092</f>
        <v>18345.229</v>
      </c>
      <c r="C84" s="18">
        <f>2159.137+16186.092</f>
        <v>18345.229</v>
      </c>
      <c r="D84" s="18">
        <f>16186.092+2111.439</f>
        <v>18297.531</v>
      </c>
      <c r="E84" s="19">
        <f t="shared" si="2"/>
        <v>99.73999779452194</v>
      </c>
      <c r="F84" s="19">
        <f t="shared" si="3"/>
        <v>99.73999779452194</v>
      </c>
      <c r="G84" s="66"/>
    </row>
    <row r="85" spans="1:13" s="9" customFormat="1" ht="15.75">
      <c r="A85" s="27" t="s">
        <v>27</v>
      </c>
      <c r="B85" s="28">
        <f>B5+B14+B23+B36+B43+B50+B57+B64+B66+B69+B71+B76+B77+B78+B84</f>
        <v>2525555.671</v>
      </c>
      <c r="C85" s="28">
        <f>C5+C14+C23+C36+C43+C50+C57+C64+C66+C69+C71+C76+C77+C78+C84</f>
        <v>2000331.367</v>
      </c>
      <c r="D85" s="28">
        <f>D5+D14+D23+D36+D43+D50+D57+D64+D66+D69+D71+D76+D77+D78+D84</f>
        <v>1671726.3645699997</v>
      </c>
      <c r="E85" s="19">
        <f t="shared" si="2"/>
        <v>66.19241792076892</v>
      </c>
      <c r="F85" s="19">
        <f t="shared" si="3"/>
        <v>83.57247164889354</v>
      </c>
      <c r="G85" s="69"/>
      <c r="H85" s="5"/>
      <c r="I85" s="6"/>
      <c r="J85" s="5"/>
      <c r="K85" s="7"/>
      <c r="L85" s="8"/>
      <c r="M85" s="8"/>
    </row>
    <row r="86" spans="1:13" s="9" customFormat="1" ht="15.75">
      <c r="A86" s="17" t="s">
        <v>33</v>
      </c>
      <c r="B86" s="28">
        <f>B6+B15+B24+B37+B44+B51+B58+B67+B72+B79+B77</f>
        <v>2091694.314</v>
      </c>
      <c r="C86" s="28">
        <f>C6+C15+C24+C37+C44+C51+C58+C67+C72+C79+C77</f>
        <v>1612170.4819999998</v>
      </c>
      <c r="D86" s="28">
        <f>D6+D15+D24+D37+D44+D51+D58+D67+D72+D79+D77</f>
        <v>1422015.7385700003</v>
      </c>
      <c r="E86" s="19">
        <f>SUM(D86)/B86*100</f>
        <v>67.9839175854833</v>
      </c>
      <c r="F86" s="19">
        <f>SUM(D86)/C86*100</f>
        <v>88.20504744671292</v>
      </c>
      <c r="G86" s="69"/>
      <c r="H86" s="5"/>
      <c r="I86" s="6"/>
      <c r="J86" s="5"/>
      <c r="K86" s="7"/>
      <c r="L86" s="8"/>
      <c r="M86" s="8"/>
    </row>
    <row r="87" spans="1:7" s="4" customFormat="1" ht="15">
      <c r="A87" s="29" t="s">
        <v>1</v>
      </c>
      <c r="B87" s="22">
        <f aca="true" t="shared" si="4" ref="B87:D88">B7+B16+B25+B38+B45+B52+B59+B80</f>
        <v>560257.2660000001</v>
      </c>
      <c r="C87" s="22">
        <f t="shared" si="4"/>
        <v>460830.97300000006</v>
      </c>
      <c r="D87" s="22">
        <f t="shared" si="4"/>
        <v>417460.345</v>
      </c>
      <c r="E87" s="19">
        <f t="shared" si="2"/>
        <v>74.51225898068049</v>
      </c>
      <c r="F87" s="19">
        <f t="shared" si="3"/>
        <v>90.58860394785138</v>
      </c>
      <c r="G87" s="70"/>
    </row>
    <row r="88" spans="1:6" ht="15">
      <c r="A88" s="29" t="s">
        <v>30</v>
      </c>
      <c r="B88" s="22">
        <f t="shared" si="4"/>
        <v>202883.41900000005</v>
      </c>
      <c r="C88" s="22">
        <f t="shared" si="4"/>
        <v>167059.07900000003</v>
      </c>
      <c r="D88" s="22">
        <f t="shared" si="4"/>
        <v>151228.101</v>
      </c>
      <c r="E88" s="19">
        <f t="shared" si="2"/>
        <v>74.53940876262538</v>
      </c>
      <c r="F88" s="19">
        <f t="shared" si="3"/>
        <v>90.52372484347288</v>
      </c>
    </row>
    <row r="89" spans="1:6" ht="15">
      <c r="A89" s="29" t="s">
        <v>2</v>
      </c>
      <c r="B89" s="22">
        <f>B73+B11+B20+B29+B40+B47+B54+B61+60</f>
        <v>139004.103</v>
      </c>
      <c r="C89" s="22">
        <f>C73+C11+C20+C29+C40+C47+C54+C61+34.5</f>
        <v>101825.324</v>
      </c>
      <c r="D89" s="22">
        <f>D73+D11+D20+D29+D40+D47+D54+D61</f>
        <v>75386.584</v>
      </c>
      <c r="E89" s="19">
        <f t="shared" si="2"/>
        <v>54.23335165869169</v>
      </c>
      <c r="F89" s="19">
        <f t="shared" si="3"/>
        <v>74.03520169501255</v>
      </c>
    </row>
    <row r="90" spans="1:6" ht="15">
      <c r="A90" s="29" t="s">
        <v>13</v>
      </c>
      <c r="B90" s="22">
        <f>B86-B87-B88-B89</f>
        <v>1189549.526</v>
      </c>
      <c r="C90" s="22">
        <f>C86-C87-C88-C89</f>
        <v>882455.1059999998</v>
      </c>
      <c r="D90" s="22">
        <f>D86-D87-D88-D89</f>
        <v>777940.7085700002</v>
      </c>
      <c r="E90" s="19">
        <f t="shared" si="2"/>
        <v>65.3979251444803</v>
      </c>
      <c r="F90" s="19">
        <f t="shared" si="3"/>
        <v>88.15640628974958</v>
      </c>
    </row>
    <row r="91" spans="1:6" ht="15">
      <c r="A91" s="17" t="s">
        <v>14</v>
      </c>
      <c r="B91" s="18">
        <f>B13+B22+B42+B34+B56+B63+B65+B68+B70+B75+B83+B49</f>
        <v>413016.1280000001</v>
      </c>
      <c r="C91" s="18">
        <f>C13+C22+C42+C34+C56+C63+C65+C68+C70+C75+C83+C49</f>
        <v>368815.6560000001</v>
      </c>
      <c r="D91" s="18">
        <f>D13+D22+D42+D34+D56+D63+D65+D68+D70+D75+D83+D49</f>
        <v>231413.095</v>
      </c>
      <c r="E91" s="19">
        <f t="shared" si="2"/>
        <v>56.03003837177031</v>
      </c>
      <c r="F91" s="19">
        <f t="shared" si="3"/>
        <v>62.74492181535807</v>
      </c>
    </row>
    <row r="92" spans="1:6" ht="15">
      <c r="A92" s="17" t="s">
        <v>26</v>
      </c>
      <c r="B92" s="18">
        <f>SUM(B84)</f>
        <v>18345.229</v>
      </c>
      <c r="C92" s="18">
        <f>SUM(C84)</f>
        <v>18345.229</v>
      </c>
      <c r="D92" s="18">
        <f>SUM(D84)</f>
        <v>18297.531</v>
      </c>
      <c r="E92" s="19">
        <f t="shared" si="2"/>
        <v>99.73999779452194</v>
      </c>
      <c r="F92" s="19">
        <f t="shared" si="3"/>
        <v>99.73999779452194</v>
      </c>
    </row>
    <row r="93" spans="1:6" ht="15">
      <c r="A93" s="17" t="s">
        <v>32</v>
      </c>
      <c r="B93" s="18">
        <f>SUM(B76)</f>
        <v>2500</v>
      </c>
      <c r="C93" s="18">
        <f>SUM(C76)</f>
        <v>1000</v>
      </c>
      <c r="D93" s="18"/>
      <c r="E93" s="19"/>
      <c r="F93" s="19"/>
    </row>
    <row r="95" spans="2:4" ht="15">
      <c r="B95" s="60"/>
      <c r="C95" s="60"/>
      <c r="D95" s="71"/>
    </row>
    <row r="96" spans="2:6" ht="15">
      <c r="B96" s="61"/>
      <c r="C96" s="61"/>
      <c r="D96" s="63"/>
      <c r="E96" s="61"/>
      <c r="F96" s="61"/>
    </row>
    <row r="97" spans="2:6" ht="15">
      <c r="B97" s="72"/>
      <c r="C97" s="72"/>
      <c r="D97" s="73"/>
      <c r="E97" s="61"/>
      <c r="F97" s="61"/>
    </row>
    <row r="98" spans="2:6" ht="15">
      <c r="B98" s="74"/>
      <c r="C98" s="74"/>
      <c r="D98" s="74"/>
      <c r="E98" s="61"/>
      <c r="F98" s="61"/>
    </row>
    <row r="99" spans="2:4" ht="15">
      <c r="B99" s="60"/>
      <c r="C99" s="60"/>
      <c r="D99" s="63"/>
    </row>
    <row r="100" spans="2:4" ht="15">
      <c r="B100" s="61"/>
      <c r="C100" s="61"/>
      <c r="D100" s="62"/>
    </row>
    <row r="101" ht="15">
      <c r="D101" s="60"/>
    </row>
    <row r="102" ht="15">
      <c r="B102" s="61"/>
    </row>
    <row r="103" ht="15">
      <c r="D103" s="61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">
      <selection activeCell="B5" sqref="B5:D93"/>
    </sheetView>
  </sheetViews>
  <sheetFormatPr defaultColWidth="9.140625" defaultRowHeight="15"/>
  <cols>
    <col min="1" max="1" width="36.140625" style="53" customWidth="1"/>
    <col min="2" max="3" width="17.28125" style="53" customWidth="1"/>
    <col min="4" max="4" width="15.8515625" style="53" customWidth="1"/>
    <col min="5" max="5" width="14.7109375" style="53" customWidth="1"/>
    <col min="6" max="6" width="15.140625" style="53" customWidth="1"/>
    <col min="7" max="16384" width="9.140625" style="53" customWidth="1"/>
  </cols>
  <sheetData>
    <row r="1" spans="1:6" s="31" customFormat="1" ht="34.5" customHeight="1">
      <c r="A1" s="78" t="s">
        <v>71</v>
      </c>
      <c r="B1" s="78"/>
      <c r="C1" s="78"/>
      <c r="D1" s="78"/>
      <c r="E1" s="78"/>
      <c r="F1" s="78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6" s="31" customFormat="1" ht="75">
      <c r="A3" s="34"/>
      <c r="B3" s="34" t="s">
        <v>35</v>
      </c>
      <c r="C3" s="34" t="s">
        <v>76</v>
      </c>
      <c r="D3" s="34" t="s">
        <v>74</v>
      </c>
      <c r="E3" s="34" t="s">
        <v>36</v>
      </c>
      <c r="F3" s="34" t="s">
        <v>37</v>
      </c>
    </row>
    <row r="4" spans="1:6" s="31" customFormat="1" ht="15">
      <c r="A4" s="35"/>
      <c r="B4" s="36"/>
      <c r="C4" s="36"/>
      <c r="D4" s="36"/>
      <c r="E4" s="36"/>
      <c r="F4" s="36"/>
    </row>
    <row r="5" spans="1:7" s="39" customFormat="1" ht="14.25">
      <c r="A5" s="37" t="s">
        <v>38</v>
      </c>
      <c r="B5" s="18">
        <f>B6+B13</f>
        <v>595833.484</v>
      </c>
      <c r="C5" s="18">
        <f>C6+C13</f>
        <v>484392.749</v>
      </c>
      <c r="D5" s="18">
        <f>D6+D13</f>
        <v>419698.194</v>
      </c>
      <c r="E5" s="19">
        <f>SUM(D5)/B5*100</f>
        <v>70.43883992259823</v>
      </c>
      <c r="F5" s="19">
        <f>SUM(D5)/C5*100</f>
        <v>86.64419417227899</v>
      </c>
      <c r="G5" s="38"/>
    </row>
    <row r="6" spans="1:6" s="41" customFormat="1" ht="15">
      <c r="A6" s="40" t="s">
        <v>39</v>
      </c>
      <c r="B6" s="55">
        <v>562310.395</v>
      </c>
      <c r="C6" s="25">
        <v>453656.199</v>
      </c>
      <c r="D6" s="25">
        <f>397711.625+49.042</f>
        <v>397760.667</v>
      </c>
      <c r="E6" s="20">
        <f>SUM(D6)/B6*100</f>
        <v>70.73685113005959</v>
      </c>
      <c r="F6" s="20">
        <f>SUM(D6)/C6*100</f>
        <v>87.67887838340769</v>
      </c>
    </row>
    <row r="7" spans="1:6" s="41" customFormat="1" ht="15">
      <c r="A7" s="42" t="s">
        <v>40</v>
      </c>
      <c r="B7" s="11">
        <f>312527.163</f>
        <v>312527.163</v>
      </c>
      <c r="C7" s="11">
        <v>257573.157</v>
      </c>
      <c r="D7" s="11">
        <v>234822.448</v>
      </c>
      <c r="E7" s="20">
        <f aca="true" t="shared" si="0" ref="E7:E73">SUM(D7)/B7*100</f>
        <v>75.13665236195806</v>
      </c>
      <c r="F7" s="20">
        <f aca="true" t="shared" si="1" ref="F7:F73">SUM(D7)/C7*100</f>
        <v>91.16728262176792</v>
      </c>
    </row>
    <row r="8" spans="1:6" s="41" customFormat="1" ht="15">
      <c r="A8" s="42" t="s">
        <v>41</v>
      </c>
      <c r="B8" s="11">
        <v>113569.19</v>
      </c>
      <c r="C8" s="11">
        <v>93588.761</v>
      </c>
      <c r="D8" s="11">
        <v>85840.603</v>
      </c>
      <c r="E8" s="20">
        <f t="shared" si="0"/>
        <v>75.58441070152917</v>
      </c>
      <c r="F8" s="20">
        <f t="shared" si="1"/>
        <v>91.7210593267711</v>
      </c>
    </row>
    <row r="9" spans="1:6" s="41" customFormat="1" ht="15">
      <c r="A9" s="42" t="s">
        <v>42</v>
      </c>
      <c r="B9" s="11">
        <v>73.087</v>
      </c>
      <c r="C9" s="11">
        <v>73.087</v>
      </c>
      <c r="D9" s="11">
        <f>67.918+0.6</f>
        <v>68.518</v>
      </c>
      <c r="E9" s="20">
        <f t="shared" si="0"/>
        <v>93.74854625309563</v>
      </c>
      <c r="F9" s="20"/>
    </row>
    <row r="10" spans="1:6" s="41" customFormat="1" ht="15">
      <c r="A10" s="42" t="s">
        <v>43</v>
      </c>
      <c r="B10" s="11">
        <v>33349.211</v>
      </c>
      <c r="C10" s="11">
        <v>24147.141</v>
      </c>
      <c r="D10" s="11">
        <f>19228.194+1202.817</f>
        <v>20431.011</v>
      </c>
      <c r="E10" s="20">
        <f t="shared" si="0"/>
        <v>61.263851189762775</v>
      </c>
      <c r="F10" s="20">
        <f t="shared" si="1"/>
        <v>84.61047624644259</v>
      </c>
    </row>
    <row r="11" spans="1:6" s="41" customFormat="1" ht="30">
      <c r="A11" s="42" t="s">
        <v>44</v>
      </c>
      <c r="B11" s="11">
        <v>78527.174</v>
      </c>
      <c r="C11" s="11">
        <v>56212.294</v>
      </c>
      <c r="D11" s="11">
        <f>39622.722+18.124</f>
        <v>39640.846000000005</v>
      </c>
      <c r="E11" s="20">
        <f t="shared" si="0"/>
        <v>50.480418409046536</v>
      </c>
      <c r="F11" s="20">
        <f t="shared" si="1"/>
        <v>70.51988662835927</v>
      </c>
    </row>
    <row r="12" spans="1:6" s="41" customFormat="1" ht="15">
      <c r="A12" s="42" t="s">
        <v>45</v>
      </c>
      <c r="B12" s="11">
        <f>SUM(B6)-B7-B8-B9-B10-B11</f>
        <v>24264.570000000007</v>
      </c>
      <c r="C12" s="11">
        <f>SUM(C6)-C7-C8-C9-C10-C11</f>
        <v>22061.759000000013</v>
      </c>
      <c r="D12" s="11">
        <f>SUM(D6)-D7-D8-D9-D10-D11</f>
        <v>16957.24100000001</v>
      </c>
      <c r="E12" s="20">
        <f t="shared" si="0"/>
        <v>69.8847785062748</v>
      </c>
      <c r="F12" s="20">
        <f t="shared" si="1"/>
        <v>76.86259740213825</v>
      </c>
    </row>
    <row r="13" spans="1:6" s="41" customFormat="1" ht="15">
      <c r="A13" s="40" t="s">
        <v>46</v>
      </c>
      <c r="B13" s="58">
        <f>16516.755+17001.334+5</f>
        <v>33523.089</v>
      </c>
      <c r="C13" s="25">
        <f>15469.334+15262.216+5</f>
        <v>30736.550000000003</v>
      </c>
      <c r="D13" s="25">
        <f>21930.689+6.838</f>
        <v>21937.527</v>
      </c>
      <c r="E13" s="20">
        <f t="shared" si="0"/>
        <v>65.44005237703482</v>
      </c>
      <c r="F13" s="20">
        <f t="shared" si="1"/>
        <v>71.37276955286131</v>
      </c>
    </row>
    <row r="14" spans="1:6" s="39" customFormat="1" ht="14.25">
      <c r="A14" s="37" t="s">
        <v>47</v>
      </c>
      <c r="B14" s="18">
        <f>B15+B22</f>
        <v>373273.95</v>
      </c>
      <c r="C14" s="18">
        <f>C15+C22</f>
        <v>311442.158</v>
      </c>
      <c r="D14" s="18">
        <f>D15+D22</f>
        <v>269696.827</v>
      </c>
      <c r="E14" s="19">
        <f t="shared" si="0"/>
        <v>72.2517140561242</v>
      </c>
      <c r="F14" s="19">
        <f t="shared" si="1"/>
        <v>86.59612068318637</v>
      </c>
    </row>
    <row r="15" spans="1:6" s="41" customFormat="1" ht="15">
      <c r="A15" s="40" t="s">
        <v>48</v>
      </c>
      <c r="B15" s="25">
        <f>327920.177+25068</f>
        <v>352988.177</v>
      </c>
      <c r="C15" s="25">
        <f>270245.739+20910.646</f>
        <v>291156.385</v>
      </c>
      <c r="D15" s="25">
        <f>235059.6+690.75+19871.307</f>
        <v>255621.657</v>
      </c>
      <c r="E15" s="20">
        <f>SUM(D15)/B15*100</f>
        <v>72.41649257844689</v>
      </c>
      <c r="F15" s="20">
        <f>SUM(D15)/C15*100</f>
        <v>87.79531213097044</v>
      </c>
    </row>
    <row r="16" spans="1:6" s="41" customFormat="1" ht="15">
      <c r="A16" s="42" t="s">
        <v>40</v>
      </c>
      <c r="B16" s="11">
        <v>138388.382</v>
      </c>
      <c r="C16" s="11">
        <v>113923.556</v>
      </c>
      <c r="D16" s="11">
        <f>103093.018+0.465</f>
        <v>103093.483</v>
      </c>
      <c r="E16" s="20">
        <f t="shared" si="0"/>
        <v>74.4957643915513</v>
      </c>
      <c r="F16" s="20">
        <f t="shared" si="1"/>
        <v>90.49356131404465</v>
      </c>
    </row>
    <row r="17" spans="1:6" s="41" customFormat="1" ht="15">
      <c r="A17" s="42" t="s">
        <v>41</v>
      </c>
      <c r="B17" s="11">
        <v>49741.847</v>
      </c>
      <c r="C17" s="11">
        <v>41076.259</v>
      </c>
      <c r="D17" s="11">
        <f>36655.307+0.169</f>
        <v>36655.476</v>
      </c>
      <c r="E17" s="20">
        <f t="shared" si="0"/>
        <v>73.69142525005154</v>
      </c>
      <c r="F17" s="20">
        <f t="shared" si="1"/>
        <v>89.23762020294984</v>
      </c>
    </row>
    <row r="18" spans="1:6" s="41" customFormat="1" ht="15">
      <c r="A18" s="42" t="s">
        <v>42</v>
      </c>
      <c r="B18" s="58">
        <v>11580.269</v>
      </c>
      <c r="C18" s="11">
        <v>10574.513</v>
      </c>
      <c r="D18" s="11">
        <f>9124.271+157.484</f>
        <v>9281.755000000001</v>
      </c>
      <c r="E18" s="20">
        <f t="shared" si="0"/>
        <v>80.15146280280709</v>
      </c>
      <c r="F18" s="20">
        <f t="shared" si="1"/>
        <v>87.77477506529142</v>
      </c>
    </row>
    <row r="19" spans="1:6" s="41" customFormat="1" ht="15">
      <c r="A19" s="42" t="s">
        <v>43</v>
      </c>
      <c r="B19" s="11">
        <v>4056.884</v>
      </c>
      <c r="C19" s="11">
        <v>3446.687</v>
      </c>
      <c r="D19" s="11">
        <f>3053.166+76.358</f>
        <v>3129.5240000000003</v>
      </c>
      <c r="E19" s="20">
        <f t="shared" si="0"/>
        <v>77.14107674757278</v>
      </c>
      <c r="F19" s="20">
        <f t="shared" si="1"/>
        <v>90.79803300966988</v>
      </c>
    </row>
    <row r="20" spans="1:6" s="41" customFormat="1" ht="30">
      <c r="A20" s="42" t="s">
        <v>44</v>
      </c>
      <c r="B20" s="11">
        <v>30224.41</v>
      </c>
      <c r="C20" s="11">
        <v>23623.552</v>
      </c>
      <c r="D20" s="11">
        <f>17151.655+57.419</f>
        <v>17209.074</v>
      </c>
      <c r="E20" s="20">
        <f t="shared" si="0"/>
        <v>56.937667269600965</v>
      </c>
      <c r="F20" s="20">
        <f t="shared" si="1"/>
        <v>72.84710614220927</v>
      </c>
    </row>
    <row r="21" spans="1:6" s="41" customFormat="1" ht="15">
      <c r="A21" s="42" t="s">
        <v>45</v>
      </c>
      <c r="B21" s="11">
        <f>SUM(B15)-B16-B17-B18-B19-B20</f>
        <v>118996.38500000001</v>
      </c>
      <c r="C21" s="11">
        <f>SUM(C15)-C16-C17-C18-C19-C20</f>
        <v>98511.81800000003</v>
      </c>
      <c r="D21" s="11">
        <f>SUM(D15)-D16-D17-D18-D19-D20</f>
        <v>86252.345</v>
      </c>
      <c r="E21" s="20">
        <f t="shared" si="0"/>
        <v>72.4831640893965</v>
      </c>
      <c r="F21" s="20">
        <f t="shared" si="1"/>
        <v>87.55532762576767</v>
      </c>
    </row>
    <row r="22" spans="1:6" s="41" customFormat="1" ht="15">
      <c r="A22" s="40" t="s">
        <v>46</v>
      </c>
      <c r="B22" s="25">
        <f>11416.945+8868.828</f>
        <v>20285.773</v>
      </c>
      <c r="C22" s="25">
        <f>8868.828+11416.945</f>
        <v>20285.773</v>
      </c>
      <c r="D22" s="25">
        <f>13777.159+298.011</f>
        <v>14075.17</v>
      </c>
      <c r="E22" s="20">
        <f t="shared" si="0"/>
        <v>69.38444002109262</v>
      </c>
      <c r="F22" s="20">
        <f t="shared" si="1"/>
        <v>69.38444002109262</v>
      </c>
    </row>
    <row r="23" spans="1:6" s="39" customFormat="1" ht="28.5">
      <c r="A23" s="37" t="s">
        <v>64</v>
      </c>
      <c r="B23" s="18">
        <f>B24+B34</f>
        <v>700089.562</v>
      </c>
      <c r="C23" s="18">
        <f>C24+C34</f>
        <v>468250.629</v>
      </c>
      <c r="D23" s="18">
        <f>D24+D34</f>
        <v>435710.37799999997</v>
      </c>
      <c r="E23" s="19">
        <f t="shared" si="0"/>
        <v>62.2363768365968</v>
      </c>
      <c r="F23" s="19">
        <f t="shared" si="1"/>
        <v>93.05067649999889</v>
      </c>
    </row>
    <row r="24" spans="1:6" s="41" customFormat="1" ht="15">
      <c r="A24" s="40" t="s">
        <v>48</v>
      </c>
      <c r="B24" s="25">
        <v>696905.234</v>
      </c>
      <c r="C24" s="25">
        <v>465961.711</v>
      </c>
      <c r="D24" s="25">
        <v>434736.986</v>
      </c>
      <c r="E24" s="20">
        <f>SUM(D24)/B24*100</f>
        <v>62.38107633440445</v>
      </c>
      <c r="F24" s="20">
        <f>SUM(D24)/C24*100</f>
        <v>93.29886463568248</v>
      </c>
    </row>
    <row r="25" spans="1:6" s="41" customFormat="1" ht="15">
      <c r="A25" s="42" t="s">
        <v>40</v>
      </c>
      <c r="B25" s="11">
        <v>11580.045</v>
      </c>
      <c r="C25" s="11">
        <v>9203.683</v>
      </c>
      <c r="D25" s="11">
        <f>8413.697+66.34</f>
        <v>8480.037</v>
      </c>
      <c r="E25" s="20">
        <f t="shared" si="0"/>
        <v>73.22974133520206</v>
      </c>
      <c r="F25" s="20">
        <f t="shared" si="1"/>
        <v>92.13743020049691</v>
      </c>
    </row>
    <row r="26" spans="1:6" s="41" customFormat="1" ht="15">
      <c r="A26" s="42" t="s">
        <v>41</v>
      </c>
      <c r="B26" s="11">
        <v>4163.178</v>
      </c>
      <c r="C26" s="11">
        <v>3314.007</v>
      </c>
      <c r="D26" s="11">
        <f>3029.319+25.562</f>
        <v>3054.881</v>
      </c>
      <c r="E26" s="20">
        <f t="shared" si="0"/>
        <v>73.3785824194882</v>
      </c>
      <c r="F26" s="20">
        <f t="shared" si="1"/>
        <v>92.18088555636726</v>
      </c>
    </row>
    <row r="27" spans="1:6" s="41" customFormat="1" ht="15">
      <c r="A27" s="42" t="s">
        <v>42</v>
      </c>
      <c r="B27" s="11">
        <v>77.62</v>
      </c>
      <c r="C27" s="11">
        <v>75.14</v>
      </c>
      <c r="D27" s="11">
        <v>75.14</v>
      </c>
      <c r="E27" s="20">
        <f t="shared" si="0"/>
        <v>96.80494717856222</v>
      </c>
      <c r="F27" s="20">
        <f t="shared" si="1"/>
        <v>100</v>
      </c>
    </row>
    <row r="28" spans="1:6" s="41" customFormat="1" ht="15">
      <c r="A28" s="42" t="s">
        <v>43</v>
      </c>
      <c r="B28" s="11">
        <v>138.829</v>
      </c>
      <c r="C28" s="11">
        <v>123.26</v>
      </c>
      <c r="D28" s="11">
        <v>123.26</v>
      </c>
      <c r="E28" s="20">
        <f t="shared" si="0"/>
        <v>88.78548430083052</v>
      </c>
      <c r="F28" s="20">
        <f t="shared" si="1"/>
        <v>100</v>
      </c>
    </row>
    <row r="29" spans="1:6" s="41" customFormat="1" ht="30">
      <c r="A29" s="42" t="s">
        <v>44</v>
      </c>
      <c r="B29" s="11">
        <v>1150.295</v>
      </c>
      <c r="C29" s="11">
        <v>778.821</v>
      </c>
      <c r="D29" s="11">
        <v>667.761</v>
      </c>
      <c r="E29" s="20">
        <f t="shared" si="0"/>
        <v>58.05128249709857</v>
      </c>
      <c r="F29" s="20">
        <f t="shared" si="1"/>
        <v>85.73998389873924</v>
      </c>
    </row>
    <row r="30" spans="1:6" s="41" customFormat="1" ht="15">
      <c r="A30" s="42" t="s">
        <v>45</v>
      </c>
      <c r="B30" s="11">
        <f>SUM(B24)-B25-B26-B27-B28-B29</f>
        <v>679795.267</v>
      </c>
      <c r="C30" s="11">
        <f>SUM(C24)-C25-C26-C27-C28-C29</f>
        <v>452466.8</v>
      </c>
      <c r="D30" s="11">
        <f>SUM(D24)-D25-D26-D27-D28-D29</f>
        <v>422335.90699999995</v>
      </c>
      <c r="E30" s="20">
        <f t="shared" si="0"/>
        <v>62.12692666481892</v>
      </c>
      <c r="F30" s="20">
        <f t="shared" si="1"/>
        <v>93.34075052578442</v>
      </c>
    </row>
    <row r="31" spans="1:6" s="41" customFormat="1" ht="15">
      <c r="A31" s="42" t="s">
        <v>49</v>
      </c>
      <c r="B31" s="11">
        <f>SUM(B32:B33)</f>
        <v>664987.23</v>
      </c>
      <c r="C31" s="11">
        <f>SUM(C32:C33)</f>
        <v>387033.371</v>
      </c>
      <c r="D31" s="11">
        <f>SUM(D32:D33)</f>
        <v>372859.15800000005</v>
      </c>
      <c r="E31" s="20">
        <f>SUM(D31)/B31*100</f>
        <v>56.07012303078363</v>
      </c>
      <c r="F31" s="20">
        <f>SUM(D31)/C31*100</f>
        <v>96.33772845907906</v>
      </c>
    </row>
    <row r="32" spans="1:6" s="41" customFormat="1" ht="30">
      <c r="A32" s="43" t="s">
        <v>70</v>
      </c>
      <c r="B32" s="11">
        <v>431369.7</v>
      </c>
      <c r="C32" s="11">
        <v>307877.823</v>
      </c>
      <c r="D32" s="11">
        <v>301895.449</v>
      </c>
      <c r="E32" s="20">
        <f>SUM(D32)/B32*100</f>
        <v>69.98531630756635</v>
      </c>
      <c r="F32" s="20">
        <f>SUM(D32)/C32*100</f>
        <v>98.0568999930859</v>
      </c>
    </row>
    <row r="33" spans="1:6" s="41" customFormat="1" ht="15">
      <c r="A33" s="43" t="s">
        <v>65</v>
      </c>
      <c r="B33" s="11">
        <v>233617.53</v>
      </c>
      <c r="C33" s="11">
        <v>79155.548</v>
      </c>
      <c r="D33" s="11">
        <v>70963.709</v>
      </c>
      <c r="E33" s="20">
        <f>SUM(D33)/B33*100</f>
        <v>30.376020583729314</v>
      </c>
      <c r="F33" s="20">
        <f>SUM(D33)/C33*100</f>
        <v>89.65096041025451</v>
      </c>
    </row>
    <row r="34" spans="1:6" s="41" customFormat="1" ht="15">
      <c r="A34" s="40" t="s">
        <v>46</v>
      </c>
      <c r="B34" s="25">
        <f>2396.328+788</f>
        <v>3184.328</v>
      </c>
      <c r="C34" s="25">
        <f>788+1500.918</f>
        <v>2288.9179999999997</v>
      </c>
      <c r="D34" s="25">
        <f>479.99+493.402</f>
        <v>973.392</v>
      </c>
      <c r="E34" s="20">
        <f>SUM(D34)/B34*100</f>
        <v>30.568207797689183</v>
      </c>
      <c r="F34" s="20">
        <f>SUM(D34)/C34*100</f>
        <v>42.526294083055845</v>
      </c>
    </row>
    <row r="35" spans="1:6" s="41" customFormat="1" ht="15">
      <c r="A35" s="42" t="s">
        <v>69</v>
      </c>
      <c r="B35" s="11">
        <v>156.528</v>
      </c>
      <c r="C35" s="11">
        <v>38.50684</v>
      </c>
      <c r="D35" s="11">
        <v>38.507</v>
      </c>
      <c r="E35" s="20">
        <f>SUM(D35)/B35*100</f>
        <v>24.600710416027805</v>
      </c>
      <c r="F35" s="20">
        <f>SUM(D35)/C35*100</f>
        <v>100.00041551059499</v>
      </c>
    </row>
    <row r="36" spans="1:6" s="39" customFormat="1" ht="14.25">
      <c r="A36" s="37" t="s">
        <v>66</v>
      </c>
      <c r="B36" s="18">
        <f>B37+B42</f>
        <v>96866.24799999999</v>
      </c>
      <c r="C36" s="18">
        <f>C37+C42</f>
        <v>79188.781</v>
      </c>
      <c r="D36" s="18">
        <f>D37+D42</f>
        <v>63455.815</v>
      </c>
      <c r="E36" s="19">
        <f t="shared" si="0"/>
        <v>65.50869504102194</v>
      </c>
      <c r="F36" s="19">
        <f t="shared" si="1"/>
        <v>80.13232960360888</v>
      </c>
    </row>
    <row r="37" spans="1:6" s="41" customFormat="1" ht="15">
      <c r="A37" s="40" t="s">
        <v>48</v>
      </c>
      <c r="B37" s="25">
        <v>77949.817</v>
      </c>
      <c r="C37" s="25">
        <v>61772.35</v>
      </c>
      <c r="D37" s="25">
        <v>55303.483</v>
      </c>
      <c r="E37" s="20">
        <f>SUM(D37)/B37*100</f>
        <v>70.9475469326631</v>
      </c>
      <c r="F37" s="20">
        <f>SUM(D37)/C37*100</f>
        <v>89.52789233370594</v>
      </c>
    </row>
    <row r="38" spans="1:6" s="41" customFormat="1" ht="15">
      <c r="A38" s="42" t="s">
        <v>40</v>
      </c>
      <c r="B38" s="11">
        <v>33097.391</v>
      </c>
      <c r="C38" s="11">
        <v>27276.143</v>
      </c>
      <c r="D38" s="11">
        <f>24863.813+21.7</f>
        <v>24885.513</v>
      </c>
      <c r="E38" s="20">
        <f t="shared" si="0"/>
        <v>75.18874523976828</v>
      </c>
      <c r="F38" s="20">
        <f t="shared" si="1"/>
        <v>91.23545436757682</v>
      </c>
    </row>
    <row r="39" spans="1:6" s="41" customFormat="1" ht="15">
      <c r="A39" s="42" t="s">
        <v>41</v>
      </c>
      <c r="B39" s="11">
        <v>12086.354</v>
      </c>
      <c r="C39" s="11">
        <v>10004.151</v>
      </c>
      <c r="D39" s="11">
        <f>8989.382+7.757</f>
        <v>8997.139</v>
      </c>
      <c r="E39" s="20">
        <f t="shared" si="0"/>
        <v>74.44047228800348</v>
      </c>
      <c r="F39" s="20">
        <f t="shared" si="1"/>
        <v>89.93405837236962</v>
      </c>
    </row>
    <row r="40" spans="1:6" s="41" customFormat="1" ht="30">
      <c r="A40" s="42" t="s">
        <v>44</v>
      </c>
      <c r="B40" s="11">
        <v>5631.026</v>
      </c>
      <c r="C40" s="11">
        <v>3594.341</v>
      </c>
      <c r="D40" s="11">
        <v>3050.093</v>
      </c>
      <c r="E40" s="20">
        <f t="shared" si="0"/>
        <v>54.16584828413152</v>
      </c>
      <c r="F40" s="20">
        <f t="shared" si="1"/>
        <v>84.8581979283546</v>
      </c>
    </row>
    <row r="41" spans="1:6" s="41" customFormat="1" ht="15">
      <c r="A41" s="42" t="s">
        <v>45</v>
      </c>
      <c r="B41" s="11">
        <f>SUM(B37)-B38-B39-B40</f>
        <v>27135.045999999995</v>
      </c>
      <c r="C41" s="11">
        <f>SUM(C37)-C38-C39-C40</f>
        <v>20897.714999999997</v>
      </c>
      <c r="D41" s="11">
        <f>SUM(D37)-D38-D39-D40</f>
        <v>18370.738</v>
      </c>
      <c r="E41" s="20">
        <f t="shared" si="0"/>
        <v>67.70114928126529</v>
      </c>
      <c r="F41" s="20">
        <f t="shared" si="1"/>
        <v>87.90787892360483</v>
      </c>
    </row>
    <row r="42" spans="1:6" s="41" customFormat="1" ht="15">
      <c r="A42" s="40" t="s">
        <v>46</v>
      </c>
      <c r="B42" s="25">
        <f>8951+9965.431</f>
        <v>18916.431</v>
      </c>
      <c r="C42" s="25">
        <v>17416.431</v>
      </c>
      <c r="D42" s="25">
        <f>8099.332+53</f>
        <v>8152.332</v>
      </c>
      <c r="E42" s="20">
        <f t="shared" si="0"/>
        <v>43.096565097295574</v>
      </c>
      <c r="F42" s="20">
        <f t="shared" si="1"/>
        <v>46.80828121444629</v>
      </c>
    </row>
    <row r="43" spans="1:6" s="39" customFormat="1" ht="14.25">
      <c r="A43" s="37" t="s">
        <v>67</v>
      </c>
      <c r="B43" s="18">
        <f>B44+B49</f>
        <v>45876.041</v>
      </c>
      <c r="C43" s="18">
        <f>C44+C49</f>
        <v>38003.026</v>
      </c>
      <c r="D43" s="18">
        <f>D44+D49</f>
        <v>31905.071999999996</v>
      </c>
      <c r="E43" s="19">
        <f t="shared" si="0"/>
        <v>69.54626272131895</v>
      </c>
      <c r="F43" s="19">
        <f t="shared" si="1"/>
        <v>83.95403039747413</v>
      </c>
    </row>
    <row r="44" spans="1:6" s="41" customFormat="1" ht="15">
      <c r="A44" s="40" t="s">
        <v>48</v>
      </c>
      <c r="B44" s="25">
        <v>40360.364</v>
      </c>
      <c r="C44" s="25">
        <v>32487.349</v>
      </c>
      <c r="D44" s="25">
        <f>28852.064+0.337</f>
        <v>28852.400999999998</v>
      </c>
      <c r="E44" s="20">
        <f>SUM(D44)/B44*100</f>
        <v>71.48696924537151</v>
      </c>
      <c r="F44" s="20">
        <f>SUM(D44)/C44*100</f>
        <v>88.81118924169527</v>
      </c>
    </row>
    <row r="45" spans="1:6" s="41" customFormat="1" ht="15">
      <c r="A45" s="42" t="s">
        <v>40</v>
      </c>
      <c r="B45" s="11">
        <v>20371.66</v>
      </c>
      <c r="C45" s="11">
        <v>16423.406</v>
      </c>
      <c r="D45" s="11">
        <f>14596.907+229.478</f>
        <v>14826.384999999998</v>
      </c>
      <c r="E45" s="20">
        <f t="shared" si="0"/>
        <v>72.77946421646541</v>
      </c>
      <c r="F45" s="20">
        <f t="shared" si="1"/>
        <v>90.27594519675151</v>
      </c>
    </row>
    <row r="46" spans="1:6" s="41" customFormat="1" ht="15">
      <c r="A46" s="42" t="s">
        <v>41</v>
      </c>
      <c r="B46" s="11">
        <v>7318.765</v>
      </c>
      <c r="C46" s="11">
        <v>5903.089</v>
      </c>
      <c r="D46" s="11">
        <f>5252.652+79.689</f>
        <v>5332.341</v>
      </c>
      <c r="E46" s="20">
        <f t="shared" si="0"/>
        <v>72.85848090490677</v>
      </c>
      <c r="F46" s="20">
        <f t="shared" si="1"/>
        <v>90.33136718758603</v>
      </c>
    </row>
    <row r="47" spans="1:6" s="41" customFormat="1" ht="30">
      <c r="A47" s="42" t="s">
        <v>44</v>
      </c>
      <c r="B47" s="11">
        <v>3303.442</v>
      </c>
      <c r="C47" s="11">
        <v>2283.08</v>
      </c>
      <c r="D47" s="11">
        <v>1782.116</v>
      </c>
      <c r="E47" s="20">
        <f t="shared" si="0"/>
        <v>53.94724653861034</v>
      </c>
      <c r="F47" s="20">
        <f t="shared" si="1"/>
        <v>78.05753631059797</v>
      </c>
    </row>
    <row r="48" spans="1:6" s="41" customFormat="1" ht="15">
      <c r="A48" s="42" t="s">
        <v>45</v>
      </c>
      <c r="B48" s="11">
        <f>SUM(B44)-B45-B46-B47</f>
        <v>9366.497000000003</v>
      </c>
      <c r="C48" s="11">
        <f>SUM(C44)-C45-C46-C47</f>
        <v>7877.773999999999</v>
      </c>
      <c r="D48" s="11">
        <f>SUM(D44)-D45-D46-D47</f>
        <v>6911.558999999999</v>
      </c>
      <c r="E48" s="20">
        <f t="shared" si="0"/>
        <v>73.79022274816292</v>
      </c>
      <c r="F48" s="20">
        <f t="shared" si="1"/>
        <v>87.73492359643727</v>
      </c>
    </row>
    <row r="49" spans="1:6" s="41" customFormat="1" ht="15">
      <c r="A49" s="40" t="s">
        <v>46</v>
      </c>
      <c r="B49" s="25">
        <f>2828.9+2686.777</f>
        <v>5515.677</v>
      </c>
      <c r="C49" s="25">
        <f>2686.777+2828.9</f>
        <v>5515.677</v>
      </c>
      <c r="D49" s="25">
        <f>2972.671+80</f>
        <v>3052.671</v>
      </c>
      <c r="E49" s="20">
        <f t="shared" si="0"/>
        <v>55.34535470441797</v>
      </c>
      <c r="F49" s="20">
        <f t="shared" si="1"/>
        <v>55.34535470441797</v>
      </c>
    </row>
    <row r="50" spans="1:6" s="41" customFormat="1" ht="14.25">
      <c r="A50" s="37" t="s">
        <v>50</v>
      </c>
      <c r="B50" s="18">
        <f>B51+B56</f>
        <v>79201.18000000001</v>
      </c>
      <c r="C50" s="18">
        <f>C51+C56</f>
        <v>65455.899000000005</v>
      </c>
      <c r="D50" s="18">
        <f>D51+D56</f>
        <v>57175.268</v>
      </c>
      <c r="E50" s="19">
        <f t="shared" si="0"/>
        <v>72.1899193926151</v>
      </c>
      <c r="F50" s="19">
        <f t="shared" si="1"/>
        <v>87.34929757820605</v>
      </c>
    </row>
    <row r="51" spans="1:6" s="41" customFormat="1" ht="15">
      <c r="A51" s="40" t="s">
        <v>48</v>
      </c>
      <c r="B51" s="25">
        <v>74795.85</v>
      </c>
      <c r="C51" s="25">
        <v>61050.569</v>
      </c>
      <c r="D51" s="25">
        <v>54580.134</v>
      </c>
      <c r="E51" s="20">
        <f>SUM(D51)/B51*100</f>
        <v>72.97214217098943</v>
      </c>
      <c r="F51" s="20">
        <f>SUM(D51)/C51*100</f>
        <v>89.40151565172144</v>
      </c>
    </row>
    <row r="52" spans="1:6" s="41" customFormat="1" ht="15">
      <c r="A52" s="42" t="s">
        <v>40</v>
      </c>
      <c r="B52" s="11">
        <v>41542.044</v>
      </c>
      <c r="C52" s="11">
        <v>33738.69</v>
      </c>
      <c r="D52" s="11">
        <v>30938.598</v>
      </c>
      <c r="E52" s="20">
        <f t="shared" si="0"/>
        <v>74.47538691163102</v>
      </c>
      <c r="F52" s="20">
        <f t="shared" si="1"/>
        <v>91.70064990667983</v>
      </c>
    </row>
    <row r="53" spans="1:6" s="41" customFormat="1" ht="15">
      <c r="A53" s="42" t="s">
        <v>41</v>
      </c>
      <c r="B53" s="11">
        <v>15008.932</v>
      </c>
      <c r="C53" s="11">
        <v>12198.509</v>
      </c>
      <c r="D53" s="11">
        <v>11201.881</v>
      </c>
      <c r="E53" s="20">
        <f t="shared" si="0"/>
        <v>74.63476415243935</v>
      </c>
      <c r="F53" s="20">
        <f t="shared" si="1"/>
        <v>91.82991954180629</v>
      </c>
    </row>
    <row r="54" spans="1:6" s="41" customFormat="1" ht="30">
      <c r="A54" s="42" t="s">
        <v>44</v>
      </c>
      <c r="B54" s="11">
        <v>4210.676</v>
      </c>
      <c r="C54" s="11">
        <v>2989.626</v>
      </c>
      <c r="D54" s="11">
        <v>2453.119</v>
      </c>
      <c r="E54" s="20">
        <f t="shared" si="0"/>
        <v>58.25950512459281</v>
      </c>
      <c r="F54" s="20">
        <f t="shared" si="1"/>
        <v>82.05437737027977</v>
      </c>
    </row>
    <row r="55" spans="1:6" s="41" customFormat="1" ht="15">
      <c r="A55" s="42" t="s">
        <v>45</v>
      </c>
      <c r="B55" s="11">
        <f>SUM(B51)-B52-B53-B54</f>
        <v>14034.198000000004</v>
      </c>
      <c r="C55" s="11">
        <f>SUM(C51)-C52-C53-C54</f>
        <v>12123.744</v>
      </c>
      <c r="D55" s="11">
        <f>SUM(D51)-D52-D53-D54</f>
        <v>9986.535999999996</v>
      </c>
      <c r="E55" s="20">
        <f t="shared" si="0"/>
        <v>71.15857992027756</v>
      </c>
      <c r="F55" s="20">
        <f t="shared" si="1"/>
        <v>82.37171619592097</v>
      </c>
    </row>
    <row r="56" spans="1:6" s="41" customFormat="1" ht="15">
      <c r="A56" s="40" t="s">
        <v>46</v>
      </c>
      <c r="B56" s="25">
        <f>200+4205.33</f>
        <v>4405.33</v>
      </c>
      <c r="C56" s="25">
        <f>200+4205.33</f>
        <v>4405.33</v>
      </c>
      <c r="D56" s="25">
        <v>2595.134</v>
      </c>
      <c r="E56" s="20">
        <f t="shared" si="0"/>
        <v>58.9089580122261</v>
      </c>
      <c r="F56" s="20">
        <f t="shared" si="1"/>
        <v>58.9089580122261</v>
      </c>
    </row>
    <row r="57" spans="1:6" s="41" customFormat="1" ht="28.5">
      <c r="A57" s="21" t="s">
        <v>51</v>
      </c>
      <c r="B57" s="22">
        <f>B58+B63</f>
        <v>294306.634</v>
      </c>
      <c r="C57" s="22">
        <f>C58+C63</f>
        <v>253976.568</v>
      </c>
      <c r="D57" s="22">
        <f>D58+D63</f>
        <v>182220.659</v>
      </c>
      <c r="E57" s="19">
        <f t="shared" si="0"/>
        <v>61.915240075763975</v>
      </c>
      <c r="F57" s="19">
        <f t="shared" si="1"/>
        <v>71.7470357344147</v>
      </c>
    </row>
    <row r="58" spans="1:6" s="41" customFormat="1" ht="15">
      <c r="A58" s="40" t="s">
        <v>48</v>
      </c>
      <c r="B58" s="25">
        <f>158681.628+35861.8</f>
        <v>194543.428</v>
      </c>
      <c r="C58" s="25">
        <f>137201.462+27403.9</f>
        <v>164605.362</v>
      </c>
      <c r="D58" s="25">
        <f>111862.346+1135.44+10791.202</f>
        <v>123788.98800000001</v>
      </c>
      <c r="E58" s="20">
        <f>SUM(D58)/B58*100</f>
        <v>63.63051647265103</v>
      </c>
      <c r="F58" s="20">
        <f>SUM(D58)/C58*100</f>
        <v>75.20349671233676</v>
      </c>
    </row>
    <row r="59" spans="1:6" s="41" customFormat="1" ht="15">
      <c r="A59" s="42" t="s">
        <v>40</v>
      </c>
      <c r="B59" s="11">
        <v>423.637</v>
      </c>
      <c r="C59" s="11">
        <v>386.933</v>
      </c>
      <c r="D59" s="11">
        <v>306.374</v>
      </c>
      <c r="E59" s="20">
        <f t="shared" si="0"/>
        <v>72.31993428336052</v>
      </c>
      <c r="F59" s="20">
        <f t="shared" si="1"/>
        <v>79.18011645426986</v>
      </c>
    </row>
    <row r="60" spans="1:6" s="41" customFormat="1" ht="15">
      <c r="A60" s="42" t="s">
        <v>41</v>
      </c>
      <c r="B60" s="11">
        <v>153.961</v>
      </c>
      <c r="C60" s="11">
        <v>140.532</v>
      </c>
      <c r="D60" s="11">
        <v>108.473</v>
      </c>
      <c r="E60" s="20">
        <f t="shared" si="0"/>
        <v>70.45485545040626</v>
      </c>
      <c r="F60" s="20">
        <f t="shared" si="1"/>
        <v>77.18740215751572</v>
      </c>
    </row>
    <row r="61" spans="1:6" s="41" customFormat="1" ht="30">
      <c r="A61" s="42" t="s">
        <v>44</v>
      </c>
      <c r="B61" s="11">
        <v>15891.008</v>
      </c>
      <c r="C61" s="11">
        <v>12304.438</v>
      </c>
      <c r="D61" s="11">
        <f>10239.148+342.937</f>
        <v>10582.085</v>
      </c>
      <c r="E61" s="20">
        <f t="shared" si="0"/>
        <v>66.59165359428427</v>
      </c>
      <c r="F61" s="20">
        <f t="shared" si="1"/>
        <v>86.00218067659814</v>
      </c>
    </row>
    <row r="62" spans="1:6" s="41" customFormat="1" ht="15">
      <c r="A62" s="42" t="s">
        <v>45</v>
      </c>
      <c r="B62" s="11">
        <f>SUM(B58)-B59-B60-B61</f>
        <v>178074.82200000001</v>
      </c>
      <c r="C62" s="11">
        <f>SUM(C58)-C59-C60-C61</f>
        <v>151773.459</v>
      </c>
      <c r="D62" s="11">
        <f>SUM(D58)-D59-D60-D61</f>
        <v>112792.05600000001</v>
      </c>
      <c r="E62" s="20">
        <f t="shared" si="0"/>
        <v>63.33969885984219</v>
      </c>
      <c r="F62" s="20">
        <f t="shared" si="1"/>
        <v>74.31606075473314</v>
      </c>
    </row>
    <row r="63" spans="1:6" s="41" customFormat="1" ht="15">
      <c r="A63" s="40" t="s">
        <v>46</v>
      </c>
      <c r="B63" s="25">
        <f>61251.718-35861.8+74373.288</f>
        <v>99763.206</v>
      </c>
      <c r="C63" s="25">
        <f>51793.818-27403.9+64981.288</f>
        <v>89371.206</v>
      </c>
      <c r="D63" s="25">
        <f>58187.316+244.355</f>
        <v>58431.671</v>
      </c>
      <c r="E63" s="20">
        <f t="shared" si="0"/>
        <v>58.570362103238736</v>
      </c>
      <c r="F63" s="20">
        <f t="shared" si="1"/>
        <v>65.38086886731729</v>
      </c>
    </row>
    <row r="64" spans="1:6" s="41" customFormat="1" ht="15">
      <c r="A64" s="21" t="s">
        <v>52</v>
      </c>
      <c r="B64" s="22">
        <f>SUM(B65)</f>
        <v>83300.756</v>
      </c>
      <c r="C64" s="22">
        <f>SUM(C65)</f>
        <v>68227.658</v>
      </c>
      <c r="D64" s="22">
        <f>SUM(D65)</f>
        <v>24978.07</v>
      </c>
      <c r="E64" s="19">
        <f t="shared" si="0"/>
        <v>29.985406134849484</v>
      </c>
      <c r="F64" s="19">
        <f t="shared" si="1"/>
        <v>36.609889203583684</v>
      </c>
    </row>
    <row r="65" spans="1:6" s="41" customFormat="1" ht="15">
      <c r="A65" s="40" t="s">
        <v>46</v>
      </c>
      <c r="B65" s="25">
        <f>19538.959+63761.797</f>
        <v>83300.756</v>
      </c>
      <c r="C65" s="25">
        <f>54564.264+13663.394</f>
        <v>68227.658</v>
      </c>
      <c r="D65" s="25">
        <f>24546.135+431.935</f>
        <v>24978.07</v>
      </c>
      <c r="E65" s="20">
        <f t="shared" si="0"/>
        <v>29.985406134849484</v>
      </c>
      <c r="F65" s="20">
        <f t="shared" si="1"/>
        <v>36.609889203583684</v>
      </c>
    </row>
    <row r="66" spans="1:6" s="41" customFormat="1" ht="15">
      <c r="A66" s="44" t="s">
        <v>53</v>
      </c>
      <c r="B66" s="22">
        <f>SUM(B67:B68)</f>
        <v>152245.844</v>
      </c>
      <c r="C66" s="22">
        <f>SUM(C67:C68)</f>
        <v>140250.19700000001</v>
      </c>
      <c r="D66" s="22">
        <f>SUM(D67:D68)</f>
        <v>113721.36600000001</v>
      </c>
      <c r="E66" s="19">
        <f t="shared" si="0"/>
        <v>74.69587544209088</v>
      </c>
      <c r="F66" s="19">
        <f t="shared" si="1"/>
        <v>81.08463904688847</v>
      </c>
    </row>
    <row r="67" spans="1:6" s="41" customFormat="1" ht="15">
      <c r="A67" s="40" t="s">
        <v>45</v>
      </c>
      <c r="B67" s="25">
        <v>59582.369</v>
      </c>
      <c r="C67" s="25">
        <v>53823.222</v>
      </c>
      <c r="D67" s="25">
        <v>49195.58</v>
      </c>
      <c r="E67" s="20">
        <f t="shared" si="0"/>
        <v>82.56734471232589</v>
      </c>
      <c r="F67" s="20">
        <f t="shared" si="1"/>
        <v>91.40214608482562</v>
      </c>
    </row>
    <row r="68" spans="1:6" s="41" customFormat="1" ht="15">
      <c r="A68" s="40" t="s">
        <v>46</v>
      </c>
      <c r="B68" s="25">
        <f>40309.086+52354.389</f>
        <v>92663.475</v>
      </c>
      <c r="C68" s="25">
        <f>51554.389+34872.586</f>
        <v>86426.975</v>
      </c>
      <c r="D68" s="25">
        <v>64525.786</v>
      </c>
      <c r="E68" s="20">
        <f t="shared" si="0"/>
        <v>69.63454154940769</v>
      </c>
      <c r="F68" s="20">
        <f t="shared" si="1"/>
        <v>74.65931325260429</v>
      </c>
    </row>
    <row r="69" spans="1:6" s="41" customFormat="1" ht="57">
      <c r="A69" s="45" t="s">
        <v>54</v>
      </c>
      <c r="B69" s="22">
        <f>SUM(B70:B70)</f>
        <v>46206</v>
      </c>
      <c r="C69" s="22">
        <f>SUM(C70:C70)</f>
        <v>38889.075</v>
      </c>
      <c r="D69" s="22">
        <f>SUM(D70:D70)</f>
        <v>29902.9</v>
      </c>
      <c r="E69" s="19">
        <f t="shared" si="0"/>
        <v>64.71648703631563</v>
      </c>
      <c r="F69" s="19">
        <f t="shared" si="1"/>
        <v>76.89280344158354</v>
      </c>
    </row>
    <row r="70" spans="1:6" s="41" customFormat="1" ht="15">
      <c r="A70" s="40" t="s">
        <v>46</v>
      </c>
      <c r="B70" s="25">
        <v>46206</v>
      </c>
      <c r="C70" s="25">
        <f>26019.075+12870</f>
        <v>38889.075</v>
      </c>
      <c r="D70" s="25">
        <v>29902.9</v>
      </c>
      <c r="E70" s="20">
        <f t="shared" si="0"/>
        <v>64.71648703631563</v>
      </c>
      <c r="F70" s="20">
        <f t="shared" si="1"/>
        <v>76.89280344158354</v>
      </c>
    </row>
    <row r="71" spans="1:6" s="41" customFormat="1" ht="39.75" customHeight="1">
      <c r="A71" s="44" t="s">
        <v>55</v>
      </c>
      <c r="B71" s="18">
        <f>SUM(B72)+B75</f>
        <v>6808.700000000001</v>
      </c>
      <c r="C71" s="18">
        <f>SUM(C72)+C75</f>
        <v>6178.6759999999995</v>
      </c>
      <c r="D71" s="18">
        <f>SUM(D72)+D75</f>
        <v>3894.742</v>
      </c>
      <c r="E71" s="19">
        <f t="shared" si="0"/>
        <v>57.202432182354926</v>
      </c>
      <c r="F71" s="19">
        <f t="shared" si="1"/>
        <v>63.03521984321561</v>
      </c>
    </row>
    <row r="72" spans="1:6" s="41" customFormat="1" ht="15">
      <c r="A72" s="40" t="s">
        <v>48</v>
      </c>
      <c r="B72" s="25">
        <v>5036.657</v>
      </c>
      <c r="C72" s="25">
        <v>4406.633</v>
      </c>
      <c r="D72" s="25">
        <v>3894.742</v>
      </c>
      <c r="E72" s="20">
        <f>SUM(D72)/B72*100</f>
        <v>77.32791810123263</v>
      </c>
      <c r="F72" s="20">
        <f>SUM(D72)/C72*100</f>
        <v>88.38362532119194</v>
      </c>
    </row>
    <row r="73" spans="1:6" s="41" customFormat="1" ht="30">
      <c r="A73" s="42" t="s">
        <v>44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</row>
    <row r="74" spans="1:6" s="41" customFormat="1" ht="15">
      <c r="A74" s="42" t="s">
        <v>45</v>
      </c>
      <c r="B74" s="11">
        <f>SUM(B71)-B73</f>
        <v>6802.628000000001</v>
      </c>
      <c r="C74" s="11">
        <f>SUM(C71)-C73</f>
        <v>6174.004</v>
      </c>
      <c r="D74" s="11">
        <f>SUM(D71)-D73</f>
        <v>3893.2520000000004</v>
      </c>
      <c r="E74" s="20">
        <f aca="true" t="shared" si="2" ref="E74:E93">SUM(D74)/B74*100</f>
        <v>57.23158755704413</v>
      </c>
      <c r="F74" s="20">
        <f aca="true" t="shared" si="3" ref="F74:F92">SUM(D74)/C74*100</f>
        <v>63.05878648604699</v>
      </c>
    </row>
    <row r="75" spans="1:6" s="41" customFormat="1" ht="15">
      <c r="A75" s="40" t="s">
        <v>46</v>
      </c>
      <c r="B75" s="25">
        <f>1700+72.043</f>
        <v>1772.0430000000001</v>
      </c>
      <c r="C75" s="25">
        <f>1700+72.043</f>
        <v>1772.0430000000001</v>
      </c>
      <c r="D75" s="25"/>
      <c r="E75" s="20">
        <f t="shared" si="2"/>
        <v>0</v>
      </c>
      <c r="F75" s="20">
        <f t="shared" si="3"/>
        <v>0</v>
      </c>
    </row>
    <row r="76" spans="1:6" s="41" customFormat="1" ht="15">
      <c r="A76" s="44" t="s">
        <v>56</v>
      </c>
      <c r="B76" s="25">
        <v>2500</v>
      </c>
      <c r="C76" s="25">
        <v>1000</v>
      </c>
      <c r="D76" s="25"/>
      <c r="E76" s="19">
        <f t="shared" si="2"/>
        <v>0</v>
      </c>
      <c r="F76" s="19"/>
    </row>
    <row r="77" spans="1:6" s="41" customFormat="1" ht="15">
      <c r="A77" s="44" t="s">
        <v>57</v>
      </c>
      <c r="B77" s="25">
        <v>18418.4</v>
      </c>
      <c r="C77" s="25">
        <v>15348.8</v>
      </c>
      <c r="D77" s="25">
        <v>14325.6</v>
      </c>
      <c r="E77" s="19">
        <f t="shared" si="2"/>
        <v>77.7787429961343</v>
      </c>
      <c r="F77" s="19">
        <f t="shared" si="3"/>
        <v>93.33368080892318</v>
      </c>
    </row>
    <row r="78" spans="1:6" s="39" customFormat="1" ht="14.25">
      <c r="A78" s="37" t="s">
        <v>58</v>
      </c>
      <c r="B78" s="18">
        <f>SUM(B79)+B83</f>
        <v>12283.643</v>
      </c>
      <c r="C78" s="18">
        <f>SUM(C79)+C83</f>
        <v>11381.921999999999</v>
      </c>
      <c r="D78" s="18">
        <f>SUM(D79)+D83</f>
        <v>6743.94257</v>
      </c>
      <c r="E78" s="19">
        <f t="shared" si="2"/>
        <v>54.90181186477009</v>
      </c>
      <c r="F78" s="19">
        <f t="shared" si="3"/>
        <v>59.2513511338419</v>
      </c>
    </row>
    <row r="79" spans="1:6" s="39" customFormat="1" ht="15">
      <c r="A79" s="40" t="s">
        <v>48</v>
      </c>
      <c r="B79" s="25">
        <f>8440.456-571.501+470.8+119+344.868</f>
        <v>8803.623</v>
      </c>
      <c r="C79" s="25">
        <f>3736.424+3837.777+327.701</f>
        <v>7901.902</v>
      </c>
      <c r="D79" s="25">
        <f>1673.88631+744.93026-565.125+618.093+746.943+736.773</f>
        <v>3955.50057</v>
      </c>
      <c r="E79" s="20">
        <f>SUM(D79)/B79*100</f>
        <v>44.930372075224035</v>
      </c>
      <c r="F79" s="20">
        <f>SUM(D79)/C79*100</f>
        <v>50.05757563179093</v>
      </c>
    </row>
    <row r="80" spans="1:6" s="41" customFormat="1" ht="15">
      <c r="A80" s="42" t="s">
        <v>40</v>
      </c>
      <c r="B80" s="11">
        <f>98.3+1977.142+251.502</f>
        <v>2326.944</v>
      </c>
      <c r="C80" s="11">
        <f>98.3+1968.388+238.717</f>
        <v>2305.405</v>
      </c>
      <c r="D80" s="11">
        <f>77.317+14.327+15.863</f>
        <v>107.50699999999999</v>
      </c>
      <c r="E80" s="20">
        <f t="shared" si="2"/>
        <v>4.6200939945267265</v>
      </c>
      <c r="F80" s="20">
        <f t="shared" si="3"/>
        <v>4.663258733281136</v>
      </c>
    </row>
    <row r="81" spans="1:6" s="41" customFormat="1" ht="15">
      <c r="A81" s="42" t="s">
        <v>41</v>
      </c>
      <c r="B81" s="11">
        <f>33.7+716.409+91.083</f>
        <v>841.192</v>
      </c>
      <c r="C81" s="11">
        <f>33.7+713.371+86.7</f>
        <v>833.7710000000001</v>
      </c>
      <c r="D81" s="11">
        <f>26.829+4.971+5.507</f>
        <v>37.307</v>
      </c>
      <c r="E81" s="20">
        <f t="shared" si="2"/>
        <v>4.435016024878982</v>
      </c>
      <c r="F81" s="20">
        <f t="shared" si="3"/>
        <v>4.474489997853127</v>
      </c>
    </row>
    <row r="82" spans="1:6" s="41" customFormat="1" ht="15">
      <c r="A82" s="42" t="s">
        <v>45</v>
      </c>
      <c r="B82" s="11">
        <f>SUM(B79)-B80-B81</f>
        <v>5635.487</v>
      </c>
      <c r="C82" s="11">
        <f>SUM(C79)-C80-C81</f>
        <v>4762.726</v>
      </c>
      <c r="D82" s="11">
        <f>SUM(D79)-D80-D81</f>
        <v>3810.6865700000003</v>
      </c>
      <c r="E82" s="20">
        <f t="shared" si="2"/>
        <v>67.61947228340692</v>
      </c>
      <c r="F82" s="20">
        <f t="shared" si="3"/>
        <v>80.01061933858888</v>
      </c>
    </row>
    <row r="83" spans="1:6" s="41" customFormat="1" ht="15">
      <c r="A83" s="40" t="s">
        <v>46</v>
      </c>
      <c r="B83" s="25">
        <f>3330.394+149.626</f>
        <v>3480.02</v>
      </c>
      <c r="C83" s="25">
        <f>3090.394+389.626</f>
        <v>3480.0199999999995</v>
      </c>
      <c r="D83" s="25">
        <v>2788.442</v>
      </c>
      <c r="E83" s="20">
        <f t="shared" si="2"/>
        <v>80.12718317710818</v>
      </c>
      <c r="F83" s="20">
        <f t="shared" si="3"/>
        <v>80.12718317710818</v>
      </c>
    </row>
    <row r="84" spans="1:6" s="41" customFormat="1" ht="40.5">
      <c r="A84" s="46" t="s">
        <v>59</v>
      </c>
      <c r="B84" s="18">
        <f>2159.137+16186.092</f>
        <v>18345.229</v>
      </c>
      <c r="C84" s="18">
        <f>2159.137+16186.092</f>
        <v>18345.229</v>
      </c>
      <c r="D84" s="18">
        <f>16186.092+2111.439</f>
        <v>18297.531</v>
      </c>
      <c r="E84" s="19">
        <f t="shared" si="2"/>
        <v>99.73999779452194</v>
      </c>
      <c r="F84" s="19">
        <f t="shared" si="3"/>
        <v>99.73999779452194</v>
      </c>
    </row>
    <row r="85" spans="1:13" s="50" customFormat="1" ht="15.75">
      <c r="A85" s="47" t="s">
        <v>60</v>
      </c>
      <c r="B85" s="28">
        <f>B5+B14+B23+B36+B43+B50+B57+B64+B66+B69+B71+B76+B77+B78+B84</f>
        <v>2525555.671</v>
      </c>
      <c r="C85" s="28">
        <f>C5+C14+C23+C36+C43+C50+C57+C64+C66+C69+C71+C76+C77+C78+C84</f>
        <v>2000331.367</v>
      </c>
      <c r="D85" s="28">
        <f>D5+D14+D23+D36+D43+D50+D57+D64+D66+D69+D71+D76+D77+D78+D84</f>
        <v>1671726.3645699997</v>
      </c>
      <c r="E85" s="19">
        <f t="shared" si="2"/>
        <v>66.19241792076892</v>
      </c>
      <c r="F85" s="19">
        <f t="shared" si="3"/>
        <v>83.57247164889354</v>
      </c>
      <c r="G85" s="48"/>
      <c r="H85" s="48"/>
      <c r="I85" s="48"/>
      <c r="J85" s="48"/>
      <c r="K85" s="49"/>
      <c r="L85" s="49"/>
      <c r="M85" s="49"/>
    </row>
    <row r="86" spans="1:13" s="50" customFormat="1" ht="15.75">
      <c r="A86" s="37" t="s">
        <v>48</v>
      </c>
      <c r="B86" s="28">
        <f>B6+B15+B24+B37+B44+B51+B58+B67+B72+B79+B77</f>
        <v>2091694.314</v>
      </c>
      <c r="C86" s="28">
        <f>C6+C15+C24+C37+C44+C51+C58+C67+C72+C79+C77</f>
        <v>1612170.4819999998</v>
      </c>
      <c r="D86" s="28">
        <f>D6+D15+D24+D37+D44+D51+D58+D67+D72+D79+D77</f>
        <v>1422015.7385700003</v>
      </c>
      <c r="E86" s="19">
        <f>SUM(D86)/B86*100</f>
        <v>67.9839175854833</v>
      </c>
      <c r="F86" s="19">
        <f>SUM(D86)/C86*100</f>
        <v>88.20504744671292</v>
      </c>
      <c r="G86" s="48"/>
      <c r="H86" s="48"/>
      <c r="I86" s="48"/>
      <c r="J86" s="48"/>
      <c r="K86" s="49"/>
      <c r="L86" s="49"/>
      <c r="M86" s="49"/>
    </row>
    <row r="87" spans="1:6" s="52" customFormat="1" ht="15">
      <c r="A87" s="51" t="s">
        <v>40</v>
      </c>
      <c r="B87" s="22">
        <f aca="true" t="shared" si="4" ref="B87:D88">B7+B16+B25+B38+B45+B52+B59+B80</f>
        <v>560257.2660000001</v>
      </c>
      <c r="C87" s="22">
        <f t="shared" si="4"/>
        <v>460830.97300000006</v>
      </c>
      <c r="D87" s="22">
        <f t="shared" si="4"/>
        <v>417460.345</v>
      </c>
      <c r="E87" s="19">
        <f t="shared" si="2"/>
        <v>74.51225898068049</v>
      </c>
      <c r="F87" s="19">
        <f t="shared" si="3"/>
        <v>90.58860394785138</v>
      </c>
    </row>
    <row r="88" spans="1:6" ht="15">
      <c r="A88" s="51" t="s">
        <v>41</v>
      </c>
      <c r="B88" s="22">
        <f t="shared" si="4"/>
        <v>202883.41900000005</v>
      </c>
      <c r="C88" s="22">
        <f t="shared" si="4"/>
        <v>167059.07900000003</v>
      </c>
      <c r="D88" s="22">
        <f t="shared" si="4"/>
        <v>151228.101</v>
      </c>
      <c r="E88" s="19">
        <f t="shared" si="2"/>
        <v>74.53940876262538</v>
      </c>
      <c r="F88" s="19">
        <f t="shared" si="3"/>
        <v>90.52372484347288</v>
      </c>
    </row>
    <row r="89" spans="1:6" ht="15">
      <c r="A89" s="51" t="s">
        <v>61</v>
      </c>
      <c r="B89" s="22">
        <f>B73+B11+B20+B29+B40+B47+B54+B61+60</f>
        <v>139004.103</v>
      </c>
      <c r="C89" s="22">
        <f>C73+C11+C20+C29+C40+C47+C54+C61+34.5</f>
        <v>101825.324</v>
      </c>
      <c r="D89" s="22">
        <f>D73+D11+D20+D29+D40+D47+D54+D61</f>
        <v>75386.584</v>
      </c>
      <c r="E89" s="19">
        <f t="shared" si="2"/>
        <v>54.23335165869169</v>
      </c>
      <c r="F89" s="19">
        <f t="shared" si="3"/>
        <v>74.03520169501255</v>
      </c>
    </row>
    <row r="90" spans="1:6" ht="15">
      <c r="A90" s="51" t="s">
        <v>45</v>
      </c>
      <c r="B90" s="22">
        <f>B86-B87-B88-B89</f>
        <v>1189549.526</v>
      </c>
      <c r="C90" s="22">
        <f>C86-C87-C88-C89</f>
        <v>882455.1059999998</v>
      </c>
      <c r="D90" s="22">
        <f>D86-D87-D88-D89</f>
        <v>777940.7085700002</v>
      </c>
      <c r="E90" s="19">
        <f t="shared" si="2"/>
        <v>65.3979251444803</v>
      </c>
      <c r="F90" s="19">
        <f t="shared" si="3"/>
        <v>88.15640628974958</v>
      </c>
    </row>
    <row r="91" spans="1:6" ht="15">
      <c r="A91" s="37" t="s">
        <v>46</v>
      </c>
      <c r="B91" s="18">
        <f>B13+B22+B42+B34+B56+B63+B65+B68+B70+B75+B83+B49</f>
        <v>413016.1280000001</v>
      </c>
      <c r="C91" s="18">
        <f>C13+C22+C42+C34+C56+C63+C65+C68+C70+C75+C83+C49</f>
        <v>368815.6560000001</v>
      </c>
      <c r="D91" s="18">
        <f>D13+D22+D42+D34+D56+D63+D65+D68+D70+D75+D83+D49</f>
        <v>231413.095</v>
      </c>
      <c r="E91" s="19">
        <f t="shared" si="2"/>
        <v>56.03003837177031</v>
      </c>
      <c r="F91" s="19">
        <f t="shared" si="3"/>
        <v>62.74492181535807</v>
      </c>
    </row>
    <row r="92" spans="1:6" ht="15">
      <c r="A92" s="37" t="s">
        <v>62</v>
      </c>
      <c r="B92" s="18">
        <f>SUM(B84)</f>
        <v>18345.229</v>
      </c>
      <c r="C92" s="18">
        <f>SUM(C84)</f>
        <v>18345.229</v>
      </c>
      <c r="D92" s="18">
        <f>SUM(D84)</f>
        <v>18297.531</v>
      </c>
      <c r="E92" s="19">
        <f t="shared" si="2"/>
        <v>99.73999779452194</v>
      </c>
      <c r="F92" s="19">
        <f t="shared" si="3"/>
        <v>99.73999779452194</v>
      </c>
    </row>
    <row r="93" spans="1:6" ht="28.5">
      <c r="A93" s="37" t="s">
        <v>63</v>
      </c>
      <c r="B93" s="18">
        <f>SUM(B76)</f>
        <v>2500</v>
      </c>
      <c r="C93" s="18">
        <f>SUM(C76)</f>
        <v>1000</v>
      </c>
      <c r="D93" s="18"/>
      <c r="E93" s="19">
        <f t="shared" si="2"/>
        <v>0</v>
      </c>
      <c r="F93" s="19"/>
    </row>
    <row r="96" spans="2:4" ht="15">
      <c r="B96" s="54"/>
      <c r="C96" s="54"/>
      <c r="D96" s="54"/>
    </row>
    <row r="97" spans="2:4" ht="15">
      <c r="B97" s="54"/>
      <c r="C97" s="54"/>
      <c r="D97" s="54"/>
    </row>
    <row r="98" spans="2:4" ht="15">
      <c r="B98" s="54"/>
      <c r="C98" s="54"/>
      <c r="D98" s="5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2015-08-25T12:16:23Z</cp:lastPrinted>
  <dcterms:created xsi:type="dcterms:W3CDTF">2015-04-07T07:35:57Z</dcterms:created>
  <dcterms:modified xsi:type="dcterms:W3CDTF">2015-10-19T12:13:52Z</dcterms:modified>
  <cp:category/>
  <cp:version/>
  <cp:contentType/>
  <cp:contentStatus/>
</cp:coreProperties>
</file>