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<sst xmlns="http://schemas.openxmlformats.org/spreadsheetml/2006/main" count="95" uniqueCount="38">
  <si>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</si>
  <si>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</si>
  <si>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</si>
  <si>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</si>
  <si>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</si>
  <si>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</si>
  <si>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</si>
  <si>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</si>
  <si>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</si>
  <si>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</si>
  <si>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</si>
  <si>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</si>
  <si>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</si>
  <si>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</si>
  <si>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</si>
  <si>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из них субвенция госбюджета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</si>
  <si>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</si>
  <si>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</si>
  <si>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</si>
  <si>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</si>
  <si>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</si>
  <si>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</si>
  <si>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</si>
  <si>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</si>
  <si>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</si>
  <si>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</si>
  <si>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</si>
  <si>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</si>
  <si>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</si>
  <si>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</si>
  <si>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</si>
  <si>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</si>
  <si>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</si>
  <si>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Утверждено на год с учетом изменений, тыс. грн.</t>
  </si>
  <si>
    <t xml:space="preserve">План на январь-май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</si>
  <si>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15 мая </t>
    </r>
    <r>
      <rPr>
        <sz val="11"/>
        <rFont val="Times New Roman"/>
        <family val="1"/>
      </rPr>
      <t>тыс. грн.</t>
    </r>
  </si>
  <si>
    <t>Процент финансирования к годовым показателеям,%</t>
  </si>
  <si>
    <t>Процент финансирования к  плану отчетного периода,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</si>
</sst>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19">
    <font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180" fontId="2" fillId="0" borderId="1" xfId="0" applyNumberFormat="1" applyFont="1" applyFill="1" applyBorder="1" applyAlignment="1">
      <alignment horizontal="right" wrapText="1"/>
    </xf>
    <xf numFmtId="181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180" fontId="3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wrapText="1"/>
    </xf>
    <xf numFmtId="181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180" fontId="6" fillId="0" borderId="1" xfId="0" applyNumberFormat="1" applyFont="1" applyFill="1" applyBorder="1" applyAlignment="1">
      <alignment horizontal="right" wrapText="1"/>
    </xf>
    <xf numFmtId="180" fontId="7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80" fontId="8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180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0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80" fontId="3" fillId="0" borderId="0" xfId="0" applyNumberFormat="1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6.140625" style="34" customWidth="1"/>
    <col min="2" max="3" width="17.28125" style="34" customWidth="1"/>
    <col min="4" max="4" width="15.8515625" style="34" customWidth="1"/>
    <col min="5" max="5" width="14.7109375" style="34" customWidth="1"/>
    <col min="6" max="6" width="15.140625" style="34" customWidth="1"/>
    <col min="7" max="16384" width="9.140625" style="34" customWidth="1"/>
  </cols>
  <sheetData>
    <row r="1" spans="1:6" s="21" customFormat="1" ht="34.5" customHeight="1">
      <c r="A1" s="20" t="s">
        <v>32</v>
      </c>
      <c r="B1" s="20"/>
      <c r="C1" s="20"/>
      <c r="D1" s="20"/>
      <c r="E1" s="20"/>
      <c r="F1" s="20"/>
    </row>
    <row r="2" spans="1:6" s="21" customFormat="1" ht="12.75" customHeight="1">
      <c r="A2" s="22"/>
      <c r="B2" s="22"/>
      <c r="C2" s="22"/>
      <c r="D2" s="22"/>
      <c r="E2" s="22"/>
      <c r="F2" s="23"/>
    </row>
    <row r="3" spans="1:6" s="21" customFormat="1" ht="75">
      <c r="A3" s="24"/>
      <c r="B3" s="24" t="s">
        <v>33</v>
      </c>
      <c r="C3" s="24" t="s">
        <v>34</v>
      </c>
      <c r="D3" s="24" t="s">
        <v>35</v>
      </c>
      <c r="E3" s="24" t="s">
        <v>36</v>
      </c>
      <c r="F3" s="24" t="s">
        <v>37</v>
      </c>
    </row>
    <row r="4" spans="1:6" s="21" customFormat="1" ht="15">
      <c r="A4" s="25"/>
      <c r="B4" s="26"/>
      <c r="C4" s="26"/>
      <c r="D4" s="26"/>
      <c r="E4" s="26"/>
      <c r="F4" s="26"/>
    </row>
    <row r="5" spans="1:7" s="28" customFormat="1" ht="14.25">
      <c r="A5" s="1" t="s">
        <v>0</v>
      </c>
      <c r="B5" s="2">
        <f>B6+B13</f>
        <v>534513.713</v>
      </c>
      <c r="C5" s="2">
        <f>C6+C13</f>
        <v>215814.92799999999</v>
      </c>
      <c r="D5" s="2">
        <f>D6+D13</f>
        <v>179546.48500000002</v>
      </c>
      <c r="E5" s="3">
        <f>SUM(D5)/B5*100</f>
        <v>33.590622772291724</v>
      </c>
      <c r="F5" s="3">
        <f>SUM(D5)/C5*100</f>
        <v>83.19465509818673</v>
      </c>
      <c r="G5" s="27"/>
    </row>
    <row r="6" spans="1:6" s="29" customFormat="1" ht="15">
      <c r="A6" s="4" t="s">
        <v>1</v>
      </c>
      <c r="B6" s="5">
        <v>520685.547</v>
      </c>
      <c r="C6" s="6">
        <v>209407.292</v>
      </c>
      <c r="D6" s="6">
        <f>176098.668+16.247</f>
        <v>176114.915</v>
      </c>
      <c r="E6" s="7">
        <f>SUM(D6)/B6*100</f>
        <v>33.82366113572958</v>
      </c>
      <c r="F6" s="7">
        <f>SUM(D6)/C6*100</f>
        <v>84.101615238881</v>
      </c>
    </row>
    <row r="7" spans="1:6" s="29" customFormat="1" ht="15">
      <c r="A7" s="8" t="s">
        <v>2</v>
      </c>
      <c r="B7" s="9">
        <v>287763.938</v>
      </c>
      <c r="C7" s="9">
        <v>116024.788</v>
      </c>
      <c r="D7" s="9">
        <v>100093.953</v>
      </c>
      <c r="E7" s="7">
        <f aca="true" t="shared" si="0" ref="E7:E70">SUM(D7)/B7*100</f>
        <v>34.78335530701557</v>
      </c>
      <c r="F7" s="7">
        <f aca="true" t="shared" si="1" ref="F7:F73">SUM(D7)/C7*100</f>
        <v>86.26945562701653</v>
      </c>
    </row>
    <row r="8" spans="1:6" s="29" customFormat="1" ht="15">
      <c r="A8" s="8" t="s">
        <v>3</v>
      </c>
      <c r="B8" s="9">
        <v>104458.31</v>
      </c>
      <c r="C8" s="9">
        <v>42363.817</v>
      </c>
      <c r="D8" s="9">
        <v>36756.919</v>
      </c>
      <c r="E8" s="7">
        <f t="shared" si="0"/>
        <v>35.18812337668492</v>
      </c>
      <c r="F8" s="7">
        <f t="shared" si="1"/>
        <v>86.76488948103992</v>
      </c>
    </row>
    <row r="9" spans="1:6" s="29" customFormat="1" ht="15">
      <c r="A9" s="8" t="s">
        <v>4</v>
      </c>
      <c r="B9" s="9">
        <v>73.087</v>
      </c>
      <c r="C9" s="9"/>
      <c r="D9" s="9"/>
      <c r="E9" s="7">
        <f t="shared" si="0"/>
        <v>0</v>
      </c>
      <c r="F9" s="7"/>
    </row>
    <row r="10" spans="1:6" s="29" customFormat="1" ht="15">
      <c r="A10" s="8" t="s">
        <v>5</v>
      </c>
      <c r="B10" s="9">
        <v>33349.211</v>
      </c>
      <c r="C10" s="9">
        <v>11657.021</v>
      </c>
      <c r="D10" s="9">
        <v>9271.682</v>
      </c>
      <c r="E10" s="7">
        <f t="shared" si="0"/>
        <v>27.801803167097418</v>
      </c>
      <c r="F10" s="7">
        <f t="shared" si="1"/>
        <v>79.53731918300568</v>
      </c>
    </row>
    <row r="11" spans="1:6" s="29" customFormat="1" ht="30">
      <c r="A11" s="8" t="s">
        <v>6</v>
      </c>
      <c r="B11" s="9">
        <v>77964.795</v>
      </c>
      <c r="C11" s="9">
        <v>30981.028</v>
      </c>
      <c r="D11" s="9">
        <v>24529.43</v>
      </c>
      <c r="E11" s="7">
        <f t="shared" si="0"/>
        <v>31.46218751681448</v>
      </c>
      <c r="F11" s="7">
        <f t="shared" si="1"/>
        <v>79.17564904560301</v>
      </c>
    </row>
    <row r="12" spans="1:6" s="29" customFormat="1" ht="15">
      <c r="A12" s="8" t="s">
        <v>7</v>
      </c>
      <c r="B12" s="9">
        <f>SUM(B6)-B7-B8-B9-B10-B11</f>
        <v>17076.20599999999</v>
      </c>
      <c r="C12" s="9">
        <f>SUM(C6)-C7-C8-C9-C10-C11</f>
        <v>8380.637999999984</v>
      </c>
      <c r="D12" s="9">
        <f>SUM(D6)-D7-D8-D9-D10-D11</f>
        <v>5462.931000000011</v>
      </c>
      <c r="E12" s="7">
        <f t="shared" si="0"/>
        <v>31.99147984042834</v>
      </c>
      <c r="F12" s="7">
        <f t="shared" si="1"/>
        <v>65.18514461548179</v>
      </c>
    </row>
    <row r="13" spans="1:6" s="29" customFormat="1" ht="15">
      <c r="A13" s="4" t="s">
        <v>8</v>
      </c>
      <c r="B13" s="5">
        <v>13828.166</v>
      </c>
      <c r="C13" s="6">
        <f>5095.638+1311.998</f>
        <v>6407.636</v>
      </c>
      <c r="D13" s="6">
        <v>3431.57</v>
      </c>
      <c r="E13" s="7">
        <f t="shared" si="0"/>
        <v>24.81579986818209</v>
      </c>
      <c r="F13" s="7">
        <f t="shared" si="1"/>
        <v>53.55438417538074</v>
      </c>
    </row>
    <row r="14" spans="1:6" s="28" customFormat="1" ht="14.25">
      <c r="A14" s="1" t="s">
        <v>9</v>
      </c>
      <c r="B14" s="2">
        <f>B15+B22</f>
        <v>334804.671</v>
      </c>
      <c r="C14" s="2">
        <f>C15+C22</f>
        <v>142510.782</v>
      </c>
      <c r="D14" s="2">
        <f>D15+D22</f>
        <v>119925.17399999998</v>
      </c>
      <c r="E14" s="3">
        <f t="shared" si="0"/>
        <v>35.8194447054175</v>
      </c>
      <c r="F14" s="3">
        <f t="shared" si="1"/>
        <v>84.15164966254973</v>
      </c>
    </row>
    <row r="15" spans="1:6" s="29" customFormat="1" ht="15">
      <c r="A15" s="4" t="s">
        <v>10</v>
      </c>
      <c r="B15" s="6">
        <f>302757.307+25068</f>
        <v>327825.307</v>
      </c>
      <c r="C15" s="6">
        <f>126611.498+10517.264</f>
        <v>137128.76200000002</v>
      </c>
      <c r="D15" s="6">
        <f>106196.097+9477.926+841.114</f>
        <v>116515.13699999999</v>
      </c>
      <c r="E15" s="7">
        <f>SUM(D15)/B15*100</f>
        <v>35.54183722612971</v>
      </c>
      <c r="F15" s="7">
        <f>SUM(D15)/C15*100</f>
        <v>84.9676867935262</v>
      </c>
    </row>
    <row r="16" spans="1:6" s="29" customFormat="1" ht="15">
      <c r="A16" s="8" t="s">
        <v>2</v>
      </c>
      <c r="B16" s="9">
        <v>129503.175</v>
      </c>
      <c r="C16" s="9">
        <v>52548.535</v>
      </c>
      <c r="D16" s="9">
        <v>45517.723</v>
      </c>
      <c r="E16" s="7">
        <f t="shared" si="0"/>
        <v>35.14795911374373</v>
      </c>
      <c r="F16" s="7">
        <f t="shared" si="1"/>
        <v>86.62034631412654</v>
      </c>
    </row>
    <row r="17" spans="1:6" s="29" customFormat="1" ht="15">
      <c r="A17" s="8" t="s">
        <v>3</v>
      </c>
      <c r="B17" s="9">
        <v>46967.328</v>
      </c>
      <c r="C17" s="9">
        <v>18928.219</v>
      </c>
      <c r="D17" s="9">
        <v>16182.631</v>
      </c>
      <c r="E17" s="7">
        <f t="shared" si="0"/>
        <v>34.45508120027607</v>
      </c>
      <c r="F17" s="7">
        <f t="shared" si="1"/>
        <v>85.49473672087163</v>
      </c>
    </row>
    <row r="18" spans="1:6" s="29" customFormat="1" ht="15">
      <c r="A18" s="8" t="s">
        <v>4</v>
      </c>
      <c r="B18" s="10">
        <v>9564.878</v>
      </c>
      <c r="C18" s="9">
        <v>4290.159</v>
      </c>
      <c r="D18" s="9">
        <f>2663.041+227.653</f>
        <v>2890.694</v>
      </c>
      <c r="E18" s="7">
        <f t="shared" si="0"/>
        <v>30.221964148418827</v>
      </c>
      <c r="F18" s="7">
        <f t="shared" si="1"/>
        <v>67.37964723451975</v>
      </c>
    </row>
    <row r="19" spans="1:6" s="29" customFormat="1" ht="15">
      <c r="A19" s="8" t="s">
        <v>5</v>
      </c>
      <c r="B19" s="9">
        <v>4070.884</v>
      </c>
      <c r="C19" s="9">
        <v>1796.807</v>
      </c>
      <c r="D19" s="9">
        <f>1407.799+81.394</f>
        <v>1489.193</v>
      </c>
      <c r="E19" s="7">
        <f t="shared" si="0"/>
        <v>36.58156311995134</v>
      </c>
      <c r="F19" s="7">
        <f t="shared" si="1"/>
        <v>82.8799642922139</v>
      </c>
    </row>
    <row r="20" spans="1:6" s="29" customFormat="1" ht="30">
      <c r="A20" s="8" t="s">
        <v>6</v>
      </c>
      <c r="B20" s="9">
        <v>30224.41</v>
      </c>
      <c r="C20" s="9">
        <v>14356.297</v>
      </c>
      <c r="D20" s="9">
        <f>12195.538+197.429</f>
        <v>12392.967</v>
      </c>
      <c r="E20" s="7">
        <f t="shared" si="0"/>
        <v>41.00317260121869</v>
      </c>
      <c r="F20" s="7">
        <f t="shared" si="1"/>
        <v>86.32425896455054</v>
      </c>
    </row>
    <row r="21" spans="1:6" s="29" customFormat="1" ht="15">
      <c r="A21" s="8" t="s">
        <v>7</v>
      </c>
      <c r="B21" s="9">
        <f>SUM(B15)-B16-B17-B18-B19-B20</f>
        <v>107494.63199999998</v>
      </c>
      <c r="C21" s="9">
        <f>SUM(C15)-C16-C17-C18-C19-C20</f>
        <v>45208.74500000002</v>
      </c>
      <c r="D21" s="9">
        <f>SUM(D15)-D16-D17-D18-D19-D20</f>
        <v>38041.92899999999</v>
      </c>
      <c r="E21" s="7">
        <f t="shared" si="0"/>
        <v>35.38960810619827</v>
      </c>
      <c r="F21" s="7">
        <f t="shared" si="1"/>
        <v>84.14727946993436</v>
      </c>
    </row>
    <row r="22" spans="1:6" s="29" customFormat="1" ht="15">
      <c r="A22" s="4" t="s">
        <v>8</v>
      </c>
      <c r="B22" s="6">
        <v>6979.364</v>
      </c>
      <c r="C22" s="6">
        <v>5382.02</v>
      </c>
      <c r="D22" s="6">
        <f>3395.917+14.12</f>
        <v>3410.037</v>
      </c>
      <c r="E22" s="7">
        <f t="shared" si="0"/>
        <v>48.85885017603323</v>
      </c>
      <c r="F22" s="7">
        <f t="shared" si="1"/>
        <v>63.359797994061694</v>
      </c>
    </row>
    <row r="23" spans="1:6" s="28" customFormat="1" ht="28.5">
      <c r="A23" s="1" t="s">
        <v>11</v>
      </c>
      <c r="B23" s="2">
        <f>B24+B34</f>
        <v>658971.982</v>
      </c>
      <c r="C23" s="2">
        <f>C24+C34</f>
        <v>231648.273</v>
      </c>
      <c r="D23" s="2">
        <f>D24+D34</f>
        <v>216445.476</v>
      </c>
      <c r="E23" s="3">
        <f t="shared" si="0"/>
        <v>32.84593001102739</v>
      </c>
      <c r="F23" s="3">
        <f t="shared" si="1"/>
        <v>93.43712050898822</v>
      </c>
    </row>
    <row r="24" spans="1:6" s="29" customFormat="1" ht="15">
      <c r="A24" s="4" t="s">
        <v>10</v>
      </c>
      <c r="B24" s="6">
        <f>657326.054</f>
        <v>657326.054</v>
      </c>
      <c r="C24" s="6">
        <v>231167.558</v>
      </c>
      <c r="D24" s="6">
        <f>216333.202+26.97</f>
        <v>216360.172</v>
      </c>
      <c r="E24" s="7">
        <f>SUM(D24)/B24*100</f>
        <v>32.915197972663954</v>
      </c>
      <c r="F24" s="7">
        <f>SUM(D24)/C24*100</f>
        <v>93.59452246322557</v>
      </c>
    </row>
    <row r="25" spans="1:6" s="29" customFormat="1" ht="15">
      <c r="A25" s="8" t="s">
        <v>2</v>
      </c>
      <c r="B25" s="9">
        <v>10221.514</v>
      </c>
      <c r="C25" s="9">
        <v>4244.427</v>
      </c>
      <c r="D25" s="9">
        <v>3623.67445</v>
      </c>
      <c r="E25" s="7">
        <f t="shared" si="0"/>
        <v>35.451445353398725</v>
      </c>
      <c r="F25" s="7">
        <f t="shared" si="1"/>
        <v>85.37487981298771</v>
      </c>
    </row>
    <row r="26" spans="1:6" s="29" customFormat="1" ht="15">
      <c r="A26" s="8" t="s">
        <v>3</v>
      </c>
      <c r="B26" s="9">
        <v>3682.207</v>
      </c>
      <c r="C26" s="9">
        <v>1544.195</v>
      </c>
      <c r="D26" s="9">
        <v>1319.26395</v>
      </c>
      <c r="E26" s="7">
        <f t="shared" si="0"/>
        <v>35.82807674853695</v>
      </c>
      <c r="F26" s="7">
        <f t="shared" si="1"/>
        <v>85.43376646084207</v>
      </c>
    </row>
    <row r="27" spans="1:6" s="29" customFormat="1" ht="15">
      <c r="A27" s="8" t="s">
        <v>4</v>
      </c>
      <c r="B27" s="9">
        <v>46</v>
      </c>
      <c r="C27" s="9">
        <v>37.92</v>
      </c>
      <c r="D27" s="9">
        <f>22.48+5.44</f>
        <v>27.92</v>
      </c>
      <c r="E27" s="7">
        <f t="shared" si="0"/>
        <v>60.695652173913054</v>
      </c>
      <c r="F27" s="7">
        <f t="shared" si="1"/>
        <v>73.62869198312237</v>
      </c>
    </row>
    <row r="28" spans="1:6" s="29" customFormat="1" ht="15">
      <c r="A28" s="8" t="s">
        <v>5</v>
      </c>
      <c r="B28" s="9">
        <v>138.829</v>
      </c>
      <c r="C28" s="9">
        <v>72.36</v>
      </c>
      <c r="D28" s="9">
        <f>61.804+7.474</f>
        <v>69.278</v>
      </c>
      <c r="E28" s="7">
        <f t="shared" si="0"/>
        <v>49.90167760338258</v>
      </c>
      <c r="F28" s="7">
        <f t="shared" si="1"/>
        <v>95.74074074074075</v>
      </c>
    </row>
    <row r="29" spans="1:6" s="29" customFormat="1" ht="30">
      <c r="A29" s="8" t="s">
        <v>6</v>
      </c>
      <c r="B29" s="9">
        <v>1128.369</v>
      </c>
      <c r="C29" s="9">
        <v>612.408</v>
      </c>
      <c r="D29" s="9">
        <v>549.103</v>
      </c>
      <c r="E29" s="7">
        <f t="shared" si="0"/>
        <v>48.66342481936317</v>
      </c>
      <c r="F29" s="7">
        <f t="shared" si="1"/>
        <v>89.66293712688272</v>
      </c>
    </row>
    <row r="30" spans="1:6" s="29" customFormat="1" ht="15">
      <c r="A30" s="8" t="s">
        <v>7</v>
      </c>
      <c r="B30" s="9">
        <f>SUM(B24)-B25-B26-B27-B28-B29</f>
        <v>642109.135</v>
      </c>
      <c r="C30" s="9">
        <f>SUM(C24)-C25-C26-C27-C28-C29</f>
        <v>224656.248</v>
      </c>
      <c r="D30" s="9">
        <f>SUM(D24)-D25-D26-D27-D28-D29</f>
        <v>210770.9326</v>
      </c>
      <c r="E30" s="7">
        <f t="shared" si="0"/>
        <v>32.82478337580418</v>
      </c>
      <c r="F30" s="7">
        <f t="shared" si="1"/>
        <v>93.81930592911888</v>
      </c>
    </row>
    <row r="31" spans="1:6" s="29" customFormat="1" ht="15">
      <c r="A31" s="8" t="s">
        <v>12</v>
      </c>
      <c r="B31" s="9">
        <f>SUM(B32:B33)</f>
        <v>627256.23</v>
      </c>
      <c r="C31" s="9">
        <f>SUM(C32:C33)</f>
        <v>217829.005</v>
      </c>
      <c r="D31" s="9">
        <f>SUM(D32:D33)</f>
        <v>205829.717</v>
      </c>
      <c r="E31" s="3">
        <f>SUM(D31)/B31*100</f>
        <v>32.81429616091657</v>
      </c>
      <c r="F31" s="3">
        <f>SUM(D31)/C31*100</f>
        <v>94.49141862443892</v>
      </c>
    </row>
    <row r="32" spans="1:6" s="29" customFormat="1" ht="30">
      <c r="A32" s="11" t="s">
        <v>13</v>
      </c>
      <c r="B32" s="9">
        <v>393644.2</v>
      </c>
      <c r="C32" s="9">
        <v>163254.187</v>
      </c>
      <c r="D32" s="9">
        <v>162369.998</v>
      </c>
      <c r="E32" s="7">
        <f>SUM(D32)/B32*100</f>
        <v>41.24790813633225</v>
      </c>
      <c r="F32" s="7">
        <f>SUM(D32)/C32*100</f>
        <v>99.45839735185474</v>
      </c>
    </row>
    <row r="33" spans="1:6" s="29" customFormat="1" ht="15">
      <c r="A33" s="11" t="s">
        <v>14</v>
      </c>
      <c r="B33" s="9">
        <v>233612.03</v>
      </c>
      <c r="C33" s="9">
        <v>54574.818</v>
      </c>
      <c r="D33" s="9">
        <v>43459.719</v>
      </c>
      <c r="E33" s="7">
        <f>SUM(D33)/B33*100</f>
        <v>18.60337372180705</v>
      </c>
      <c r="F33" s="7">
        <f>SUM(D33)/C33*100</f>
        <v>79.63328251502368</v>
      </c>
    </row>
    <row r="34" spans="1:6" s="29" customFormat="1" ht="15">
      <c r="A34" s="4" t="s">
        <v>8</v>
      </c>
      <c r="B34" s="6">
        <v>1645.928</v>
      </c>
      <c r="C34" s="6">
        <v>480.715</v>
      </c>
      <c r="D34" s="6">
        <v>85.304</v>
      </c>
      <c r="E34" s="7">
        <f>SUM(D34)/B34*100</f>
        <v>5.182729742734797</v>
      </c>
      <c r="F34" s="7">
        <f>SUM(D34)/C34*100</f>
        <v>17.745233662357116</v>
      </c>
    </row>
    <row r="35" spans="1:6" s="29" customFormat="1" ht="15">
      <c r="A35" s="8" t="s">
        <v>15</v>
      </c>
      <c r="B35" s="9">
        <v>156.528</v>
      </c>
      <c r="C35" s="9">
        <v>37.315</v>
      </c>
      <c r="D35" s="9">
        <v>37.314</v>
      </c>
      <c r="E35" s="7">
        <f>SUM(D35)/B35*100</f>
        <v>23.83854645814168</v>
      </c>
      <c r="F35" s="7">
        <f>SUM(D35)/C35*100</f>
        <v>99.99732011255527</v>
      </c>
    </row>
    <row r="36" spans="1:6" s="28" customFormat="1" ht="14.25">
      <c r="A36" s="1" t="s">
        <v>16</v>
      </c>
      <c r="B36" s="2">
        <f>B37+B42</f>
        <v>81423.887</v>
      </c>
      <c r="C36" s="2">
        <f>C37+C42</f>
        <v>36689.268</v>
      </c>
      <c r="D36" s="2">
        <f>D37+D42</f>
        <v>26556.503</v>
      </c>
      <c r="E36" s="3">
        <f t="shared" si="0"/>
        <v>32.61512558347896</v>
      </c>
      <c r="F36" s="3">
        <f t="shared" si="1"/>
        <v>72.38220996941122</v>
      </c>
    </row>
    <row r="37" spans="1:6" s="29" customFormat="1" ht="15">
      <c r="A37" s="4" t="s">
        <v>10</v>
      </c>
      <c r="B37" s="6">
        <v>71463</v>
      </c>
      <c r="C37" s="6">
        <v>30375.108</v>
      </c>
      <c r="D37" s="6">
        <f>24921.233+126.491</f>
        <v>25047.724000000002</v>
      </c>
      <c r="E37" s="7">
        <f>SUM(D37)/B37*100</f>
        <v>35.04991953878231</v>
      </c>
      <c r="F37" s="7">
        <f>SUM(D37)/C37*100</f>
        <v>82.46134960244422</v>
      </c>
    </row>
    <row r="38" spans="1:6" s="29" customFormat="1" ht="15">
      <c r="A38" s="8" t="s">
        <v>2</v>
      </c>
      <c r="B38" s="9">
        <v>30639.757</v>
      </c>
      <c r="C38" s="9">
        <v>12446.241</v>
      </c>
      <c r="D38" s="9">
        <v>10334.615</v>
      </c>
      <c r="E38" s="7">
        <f t="shared" si="0"/>
        <v>33.729428728824445</v>
      </c>
      <c r="F38" s="7">
        <f t="shared" si="1"/>
        <v>83.03402609671467</v>
      </c>
    </row>
    <row r="39" spans="1:6" s="29" customFormat="1" ht="15">
      <c r="A39" s="8" t="s">
        <v>3</v>
      </c>
      <c r="B39" s="9">
        <v>11122.232</v>
      </c>
      <c r="C39" s="9">
        <v>4539.173</v>
      </c>
      <c r="D39" s="9">
        <v>3726.801</v>
      </c>
      <c r="E39" s="7">
        <f t="shared" si="0"/>
        <v>33.50767184140737</v>
      </c>
      <c r="F39" s="7">
        <f t="shared" si="1"/>
        <v>82.10308353526072</v>
      </c>
    </row>
    <row r="40" spans="1:6" s="29" customFormat="1" ht="30">
      <c r="A40" s="8" t="s">
        <v>6</v>
      </c>
      <c r="B40" s="9">
        <v>5223.452</v>
      </c>
      <c r="C40" s="9">
        <v>2948.015</v>
      </c>
      <c r="D40" s="9">
        <f>2623.917+50.48</f>
        <v>2674.397</v>
      </c>
      <c r="E40" s="7">
        <f t="shared" si="0"/>
        <v>51.199800438483976</v>
      </c>
      <c r="F40" s="7">
        <f t="shared" si="1"/>
        <v>90.71856825694577</v>
      </c>
    </row>
    <row r="41" spans="1:6" s="29" customFormat="1" ht="15">
      <c r="A41" s="8" t="s">
        <v>7</v>
      </c>
      <c r="B41" s="9">
        <f>SUM(B37)-B38-B39-B40</f>
        <v>24477.559</v>
      </c>
      <c r="C41" s="9">
        <f>SUM(C37)-C38-C39-C40</f>
        <v>10441.679</v>
      </c>
      <c r="D41" s="9">
        <f>SUM(D37)-D38-D39-D40</f>
        <v>8311.911000000004</v>
      </c>
      <c r="E41" s="7">
        <f t="shared" si="0"/>
        <v>33.95727082099977</v>
      </c>
      <c r="F41" s="7">
        <f t="shared" si="1"/>
        <v>79.60320366102044</v>
      </c>
    </row>
    <row r="42" spans="1:6" s="29" customFormat="1" ht="15">
      <c r="A42" s="4" t="s">
        <v>8</v>
      </c>
      <c r="B42" s="6">
        <v>9960.887</v>
      </c>
      <c r="C42" s="6">
        <v>6314.16</v>
      </c>
      <c r="D42" s="6">
        <v>1508.779</v>
      </c>
      <c r="E42" s="7">
        <f t="shared" si="0"/>
        <v>15.147034596416963</v>
      </c>
      <c r="F42" s="7">
        <f t="shared" si="1"/>
        <v>23.895165786106148</v>
      </c>
    </row>
    <row r="43" spans="1:6" s="28" customFormat="1" ht="14.25">
      <c r="A43" s="1" t="s">
        <v>17</v>
      </c>
      <c r="B43" s="2">
        <f>B44+B49</f>
        <v>37677.099</v>
      </c>
      <c r="C43" s="2">
        <f>C44+C49</f>
        <v>17089.885000000002</v>
      </c>
      <c r="D43" s="2">
        <f>D44+D49</f>
        <v>12614.599</v>
      </c>
      <c r="E43" s="3">
        <f t="shared" si="0"/>
        <v>33.4808128407126</v>
      </c>
      <c r="F43" s="3">
        <f t="shared" si="1"/>
        <v>73.8132468416259</v>
      </c>
    </row>
    <row r="44" spans="1:6" s="29" customFormat="1" ht="15">
      <c r="A44" s="4" t="s">
        <v>10</v>
      </c>
      <c r="B44" s="6">
        <v>35242</v>
      </c>
      <c r="C44" s="6">
        <v>15287.404</v>
      </c>
      <c r="D44" s="6">
        <f>12375.057+14.856</f>
        <v>12389.913</v>
      </c>
      <c r="E44" s="7">
        <f>SUM(D44)/B44*100</f>
        <v>35.15666818001249</v>
      </c>
      <c r="F44" s="7">
        <f>SUM(D44)/C44*100</f>
        <v>81.04654655558262</v>
      </c>
    </row>
    <row r="45" spans="1:6" s="29" customFormat="1" ht="15">
      <c r="A45" s="8" t="s">
        <v>2</v>
      </c>
      <c r="B45" s="9">
        <v>18627.014</v>
      </c>
      <c r="C45" s="9">
        <v>7523.338</v>
      </c>
      <c r="D45" s="9">
        <v>6550.149</v>
      </c>
      <c r="E45" s="7">
        <f t="shared" si="0"/>
        <v>35.164782718260696</v>
      </c>
      <c r="F45" s="7">
        <f t="shared" si="1"/>
        <v>87.06439880808226</v>
      </c>
    </row>
    <row r="46" spans="1:6" s="29" customFormat="1" ht="15">
      <c r="A46" s="8" t="s">
        <v>3</v>
      </c>
      <c r="B46" s="9">
        <v>6684.876</v>
      </c>
      <c r="C46" s="9">
        <v>2703.068</v>
      </c>
      <c r="D46" s="9">
        <v>2363.18</v>
      </c>
      <c r="E46" s="7">
        <f t="shared" si="0"/>
        <v>35.351141891038814</v>
      </c>
      <c r="F46" s="7">
        <f t="shared" si="1"/>
        <v>87.42584352298942</v>
      </c>
    </row>
    <row r="47" spans="1:6" s="29" customFormat="1" ht="30">
      <c r="A47" s="8" t="s">
        <v>6</v>
      </c>
      <c r="B47" s="9">
        <v>3323.7</v>
      </c>
      <c r="C47" s="9">
        <v>1668.583</v>
      </c>
      <c r="D47" s="9">
        <f>1276.795+8.295</f>
        <v>1285.0900000000001</v>
      </c>
      <c r="E47" s="7">
        <f t="shared" si="0"/>
        <v>38.66444023227127</v>
      </c>
      <c r="F47" s="7">
        <f t="shared" si="1"/>
        <v>77.01684603043421</v>
      </c>
    </row>
    <row r="48" spans="1:6" s="29" customFormat="1" ht="15">
      <c r="A48" s="8" t="s">
        <v>7</v>
      </c>
      <c r="B48" s="9">
        <f>SUM(B44)-B45-B46-B47</f>
        <v>6606.410000000001</v>
      </c>
      <c r="C48" s="9">
        <f>SUM(C44)-C45-C46-C47</f>
        <v>3392.4150000000004</v>
      </c>
      <c r="D48" s="9">
        <f>SUM(D44)-D45-D46-D47</f>
        <v>2191.494</v>
      </c>
      <c r="E48" s="7">
        <f t="shared" si="0"/>
        <v>33.172237266533564</v>
      </c>
      <c r="F48" s="7">
        <f t="shared" si="1"/>
        <v>64.5998204818691</v>
      </c>
    </row>
    <row r="49" spans="1:6" s="29" customFormat="1" ht="15">
      <c r="A49" s="4" t="s">
        <v>8</v>
      </c>
      <c r="B49" s="6">
        <v>2435.099</v>
      </c>
      <c r="C49" s="6">
        <v>1802.481</v>
      </c>
      <c r="D49" s="6">
        <v>224.686</v>
      </c>
      <c r="E49" s="7">
        <f t="shared" si="0"/>
        <v>9.22697598742392</v>
      </c>
      <c r="F49" s="7">
        <f t="shared" si="1"/>
        <v>12.465374114900518</v>
      </c>
    </row>
    <row r="50" spans="1:6" s="29" customFormat="1" ht="14.25">
      <c r="A50" s="1" t="s">
        <v>18</v>
      </c>
      <c r="B50" s="2">
        <f>B51+B56</f>
        <v>75297.15000000001</v>
      </c>
      <c r="C50" s="2">
        <f>C51+C56</f>
        <v>32110.511</v>
      </c>
      <c r="D50" s="2">
        <f>D51+D56</f>
        <v>24946.113</v>
      </c>
      <c r="E50" s="3">
        <f t="shared" si="0"/>
        <v>33.1302220601975</v>
      </c>
      <c r="F50" s="3">
        <f t="shared" si="1"/>
        <v>77.68830897770516</v>
      </c>
    </row>
    <row r="51" spans="1:6" s="29" customFormat="1" ht="15">
      <c r="A51" s="4" t="s">
        <v>10</v>
      </c>
      <c r="B51" s="6">
        <v>71203.35</v>
      </c>
      <c r="C51" s="6">
        <v>28589.716</v>
      </c>
      <c r="D51" s="6">
        <v>23622.128</v>
      </c>
      <c r="E51" s="7">
        <f>SUM(D51)/B51*100</f>
        <v>33.17558513749704</v>
      </c>
      <c r="F51" s="7">
        <f>SUM(D51)/C51*100</f>
        <v>82.62456332200013</v>
      </c>
    </row>
    <row r="52" spans="1:6" s="29" customFormat="1" ht="15">
      <c r="A52" s="8" t="s">
        <v>2</v>
      </c>
      <c r="B52" s="9">
        <v>39280.644</v>
      </c>
      <c r="C52" s="9">
        <v>15172.148</v>
      </c>
      <c r="D52" s="9">
        <v>12879.54</v>
      </c>
      <c r="E52" s="7">
        <f t="shared" si="0"/>
        <v>32.78851538177429</v>
      </c>
      <c r="F52" s="7">
        <f t="shared" si="1"/>
        <v>84.88936438004693</v>
      </c>
    </row>
    <row r="53" spans="1:6" s="29" customFormat="1" ht="15">
      <c r="A53" s="8" t="s">
        <v>3</v>
      </c>
      <c r="B53" s="9">
        <v>14172.205</v>
      </c>
      <c r="C53" s="9">
        <v>5507.58</v>
      </c>
      <c r="D53" s="9">
        <v>4685.796</v>
      </c>
      <c r="E53" s="7">
        <f t="shared" si="0"/>
        <v>33.06328126074948</v>
      </c>
      <c r="F53" s="7">
        <f t="shared" si="1"/>
        <v>85.07903652783982</v>
      </c>
    </row>
    <row r="54" spans="1:6" s="29" customFormat="1" ht="30">
      <c r="A54" s="8" t="s">
        <v>6</v>
      </c>
      <c r="B54" s="9">
        <v>4083.958</v>
      </c>
      <c r="C54" s="9">
        <v>2298.389</v>
      </c>
      <c r="D54" s="9">
        <v>2022.876</v>
      </c>
      <c r="E54" s="7">
        <f t="shared" si="0"/>
        <v>49.53224298584853</v>
      </c>
      <c r="F54" s="7">
        <f t="shared" si="1"/>
        <v>88.01277764555955</v>
      </c>
    </row>
    <row r="55" spans="1:6" s="29" customFormat="1" ht="15">
      <c r="A55" s="8" t="s">
        <v>7</v>
      </c>
      <c r="B55" s="9">
        <f>SUM(B51)-B52-B53-B54</f>
        <v>13666.543000000003</v>
      </c>
      <c r="C55" s="9">
        <f>SUM(C51)-C52-C53-C54</f>
        <v>5611.599000000001</v>
      </c>
      <c r="D55" s="9">
        <f>SUM(D51)-D52-D53-D54</f>
        <v>4033.9159999999993</v>
      </c>
      <c r="E55" s="7">
        <f t="shared" si="0"/>
        <v>29.51672562695627</v>
      </c>
      <c r="F55" s="7">
        <f t="shared" si="1"/>
        <v>71.88532181290927</v>
      </c>
    </row>
    <row r="56" spans="1:6" s="29" customFormat="1" ht="15">
      <c r="A56" s="4" t="s">
        <v>8</v>
      </c>
      <c r="B56" s="6">
        <v>4093.8</v>
      </c>
      <c r="C56" s="6">
        <f>2633.677+887.118</f>
        <v>3520.795</v>
      </c>
      <c r="D56" s="6">
        <v>1323.985</v>
      </c>
      <c r="E56" s="7">
        <f t="shared" si="0"/>
        <v>32.34122331330304</v>
      </c>
      <c r="F56" s="7">
        <f t="shared" si="1"/>
        <v>37.60471711644671</v>
      </c>
    </row>
    <row r="57" spans="1:6" s="29" customFormat="1" ht="28.5">
      <c r="A57" s="12" t="s">
        <v>19</v>
      </c>
      <c r="B57" s="13">
        <f>B58+B63</f>
        <v>227487.65399999998</v>
      </c>
      <c r="C57" s="13">
        <f>C58+C63</f>
        <v>84839.357</v>
      </c>
      <c r="D57" s="13">
        <f>D58+D63</f>
        <v>42677.238</v>
      </c>
      <c r="E57" s="3">
        <f t="shared" si="0"/>
        <v>18.76024357787786</v>
      </c>
      <c r="F57" s="3">
        <f t="shared" si="1"/>
        <v>50.30358492698147</v>
      </c>
    </row>
    <row r="58" spans="1:6" s="29" customFormat="1" ht="15">
      <c r="A58" s="4" t="s">
        <v>10</v>
      </c>
      <c r="B58" s="6">
        <v>152598.528</v>
      </c>
      <c r="C58" s="6">
        <v>61612.424</v>
      </c>
      <c r="D58" s="6">
        <f>37691.195+9.502</f>
        <v>37700.697</v>
      </c>
      <c r="E58" s="7">
        <f>SUM(D58)/B58*100</f>
        <v>24.705806467543383</v>
      </c>
      <c r="F58" s="7">
        <f>SUM(D58)/C58*100</f>
        <v>61.19008886908913</v>
      </c>
    </row>
    <row r="59" spans="1:6" s="29" customFormat="1" ht="15">
      <c r="A59" s="8" t="s">
        <v>2</v>
      </c>
      <c r="B59" s="9">
        <v>423.637</v>
      </c>
      <c r="C59" s="9">
        <v>160.205</v>
      </c>
      <c r="D59" s="9">
        <v>94.431</v>
      </c>
      <c r="E59" s="7">
        <f t="shared" si="0"/>
        <v>22.29054591548897</v>
      </c>
      <c r="F59" s="7">
        <f t="shared" si="1"/>
        <v>58.943853188102736</v>
      </c>
    </row>
    <row r="60" spans="1:6" s="29" customFormat="1" ht="15">
      <c r="A60" s="8" t="s">
        <v>3</v>
      </c>
      <c r="B60" s="9">
        <v>153.961</v>
      </c>
      <c r="C60" s="9">
        <v>58.002</v>
      </c>
      <c r="D60" s="9">
        <v>32.532</v>
      </c>
      <c r="E60" s="7">
        <f t="shared" si="0"/>
        <v>21.130026435266068</v>
      </c>
      <c r="F60" s="7">
        <f t="shared" si="1"/>
        <v>56.08772111306506</v>
      </c>
    </row>
    <row r="61" spans="1:6" s="29" customFormat="1" ht="30">
      <c r="A61" s="8" t="s">
        <v>6</v>
      </c>
      <c r="B61" s="9">
        <v>15891.008</v>
      </c>
      <c r="C61" s="9">
        <v>6041.456</v>
      </c>
      <c r="D61" s="9">
        <v>4462.74</v>
      </c>
      <c r="E61" s="7">
        <f t="shared" si="0"/>
        <v>28.08342932053146</v>
      </c>
      <c r="F61" s="7">
        <f t="shared" si="1"/>
        <v>73.86861710157287</v>
      </c>
    </row>
    <row r="62" spans="1:6" s="29" customFormat="1" ht="15">
      <c r="A62" s="8" t="s">
        <v>7</v>
      </c>
      <c r="B62" s="9">
        <f>SUM(B58)-B59-B60-B61</f>
        <v>136129.922</v>
      </c>
      <c r="C62" s="9">
        <f>SUM(C58)-C59-C60-C61</f>
        <v>55352.761</v>
      </c>
      <c r="D62" s="9">
        <f>SUM(D58)-D59-D60-D61</f>
        <v>33110.994000000006</v>
      </c>
      <c r="E62" s="7">
        <f t="shared" si="0"/>
        <v>24.323083061782704</v>
      </c>
      <c r="F62" s="7">
        <f t="shared" si="1"/>
        <v>59.81814348881351</v>
      </c>
    </row>
    <row r="63" spans="1:6" s="29" customFormat="1" ht="15">
      <c r="A63" s="4" t="s">
        <v>8</v>
      </c>
      <c r="B63" s="6">
        <v>74889.126</v>
      </c>
      <c r="C63" s="6">
        <v>23226.933</v>
      </c>
      <c r="D63" s="6">
        <f>4932.121+44.42</f>
        <v>4976.541</v>
      </c>
      <c r="E63" s="7">
        <f t="shared" si="0"/>
        <v>6.645211749433422</v>
      </c>
      <c r="F63" s="7">
        <f t="shared" si="1"/>
        <v>21.425734512602247</v>
      </c>
    </row>
    <row r="64" spans="1:6" s="29" customFormat="1" ht="15">
      <c r="A64" s="12" t="s">
        <v>20</v>
      </c>
      <c r="B64" s="13">
        <f>SUM(B65)</f>
        <v>72994.982</v>
      </c>
      <c r="C64" s="13">
        <f>SUM(C65)</f>
        <v>32306.776</v>
      </c>
      <c r="D64" s="13">
        <f>SUM(D65)</f>
        <v>10329.318</v>
      </c>
      <c r="E64" s="3">
        <f t="shared" si="0"/>
        <v>14.150723401781235</v>
      </c>
      <c r="F64" s="3">
        <f t="shared" si="1"/>
        <v>31.972605375417217</v>
      </c>
    </row>
    <row r="65" spans="1:6" s="29" customFormat="1" ht="15">
      <c r="A65" s="4" t="s">
        <v>8</v>
      </c>
      <c r="B65" s="6">
        <f>66994.982+6000</f>
        <v>72994.982</v>
      </c>
      <c r="C65" s="6">
        <v>32306.776</v>
      </c>
      <c r="D65" s="6">
        <f>10294.927+34.391</f>
        <v>10329.318</v>
      </c>
      <c r="E65" s="7">
        <f t="shared" si="0"/>
        <v>14.150723401781235</v>
      </c>
      <c r="F65" s="7">
        <f t="shared" si="1"/>
        <v>31.972605375417217</v>
      </c>
    </row>
    <row r="66" spans="1:6" s="29" customFormat="1" ht="15">
      <c r="A66" s="14" t="s">
        <v>21</v>
      </c>
      <c r="B66" s="13">
        <f>SUM(B67:B68)</f>
        <v>81381.526</v>
      </c>
      <c r="C66" s="13">
        <f>SUM(C67:C68)</f>
        <v>35831.062</v>
      </c>
      <c r="D66" s="13">
        <f>SUM(D67:D68)</f>
        <v>20290.927</v>
      </c>
      <c r="E66" s="3">
        <f t="shared" si="0"/>
        <v>24.93308739381466</v>
      </c>
      <c r="F66" s="3">
        <f t="shared" si="1"/>
        <v>56.62943230652778</v>
      </c>
    </row>
    <row r="67" spans="1:6" s="29" customFormat="1" ht="15">
      <c r="A67" s="4" t="s">
        <v>7</v>
      </c>
      <c r="B67" s="6">
        <f>38202.187</f>
        <v>38202.187</v>
      </c>
      <c r="C67" s="6">
        <v>17713.638</v>
      </c>
      <c r="D67" s="6">
        <v>13234.135</v>
      </c>
      <c r="E67" s="7">
        <f t="shared" si="0"/>
        <v>34.64234914090128</v>
      </c>
      <c r="F67" s="7">
        <f t="shared" si="1"/>
        <v>74.71155840488555</v>
      </c>
    </row>
    <row r="68" spans="1:6" s="29" customFormat="1" ht="15">
      <c r="A68" s="4" t="s">
        <v>8</v>
      </c>
      <c r="B68" s="6">
        <v>43179.339</v>
      </c>
      <c r="C68" s="6">
        <v>18117.424</v>
      </c>
      <c r="D68" s="6">
        <v>7056.792</v>
      </c>
      <c r="E68" s="7">
        <f t="shared" si="0"/>
        <v>16.342982925236534</v>
      </c>
      <c r="F68" s="7">
        <f t="shared" si="1"/>
        <v>38.95030551804716</v>
      </c>
    </row>
    <row r="69" spans="1:6" s="29" customFormat="1" ht="57">
      <c r="A69" s="15" t="s">
        <v>22</v>
      </c>
      <c r="B69" s="13">
        <f>SUM(B70:B70)</f>
        <v>16870</v>
      </c>
      <c r="C69" s="13">
        <f>SUM(C70:C70)</f>
        <v>7370</v>
      </c>
      <c r="D69" s="13">
        <f>SUM(D70:D70)</f>
        <v>1180</v>
      </c>
      <c r="E69" s="3">
        <f t="shared" si="0"/>
        <v>6.994665085951393</v>
      </c>
      <c r="F69" s="3">
        <f t="shared" si="1"/>
        <v>16.010854816824967</v>
      </c>
    </row>
    <row r="70" spans="1:6" s="29" customFormat="1" ht="15">
      <c r="A70" s="4" t="s">
        <v>8</v>
      </c>
      <c r="B70" s="6">
        <v>16870</v>
      </c>
      <c r="C70" s="6">
        <v>7370</v>
      </c>
      <c r="D70" s="6">
        <v>1180</v>
      </c>
      <c r="E70" s="7">
        <f t="shared" si="0"/>
        <v>6.994665085951393</v>
      </c>
      <c r="F70" s="7">
        <f t="shared" si="1"/>
        <v>16.010854816824967</v>
      </c>
    </row>
    <row r="71" spans="1:6" s="29" customFormat="1" ht="39.75" customHeight="1">
      <c r="A71" s="14" t="s">
        <v>23</v>
      </c>
      <c r="B71" s="2">
        <f>SUM(B72)+B75</f>
        <v>5108.7</v>
      </c>
      <c r="C71" s="2">
        <f>SUM(C72)+C75</f>
        <v>2784.1820000000002</v>
      </c>
      <c r="D71" s="2">
        <f>SUM(D72)+D75</f>
        <v>1389.421</v>
      </c>
      <c r="E71" s="3">
        <f>SUM(D71)/B71*100</f>
        <v>27.197153874762662</v>
      </c>
      <c r="F71" s="3">
        <f t="shared" si="1"/>
        <v>49.90410109683921</v>
      </c>
    </row>
    <row r="72" spans="1:6" s="29" customFormat="1" ht="15">
      <c r="A72" s="4" t="s">
        <v>10</v>
      </c>
      <c r="B72" s="6">
        <v>5036.657</v>
      </c>
      <c r="C72" s="6">
        <v>2712.139</v>
      </c>
      <c r="D72" s="6">
        <v>1389.421</v>
      </c>
      <c r="E72" s="7">
        <f>SUM(D72)/B72*100</f>
        <v>27.58617471866756</v>
      </c>
      <c r="F72" s="7">
        <f>SUM(D72)/C72*100</f>
        <v>51.22971204646959</v>
      </c>
    </row>
    <row r="73" spans="1:6" s="29" customFormat="1" ht="30">
      <c r="A73" s="8" t="s">
        <v>6</v>
      </c>
      <c r="B73" s="9">
        <v>6.072</v>
      </c>
      <c r="C73" s="9">
        <v>4.512</v>
      </c>
      <c r="D73" s="9">
        <v>1.362</v>
      </c>
      <c r="E73" s="7">
        <f>SUM(D73)/B73*100</f>
        <v>22.43083003952569</v>
      </c>
      <c r="F73" s="7">
        <f t="shared" si="1"/>
        <v>30.186170212765962</v>
      </c>
    </row>
    <row r="74" spans="1:6" s="29" customFormat="1" ht="15">
      <c r="A74" s="8" t="s">
        <v>7</v>
      </c>
      <c r="B74" s="9">
        <f>SUM(B71)-B73</f>
        <v>5102.628</v>
      </c>
      <c r="C74" s="9">
        <f>SUM(C71)-C73</f>
        <v>2779.67</v>
      </c>
      <c r="D74" s="9">
        <f>SUM(D71)-D73</f>
        <v>1388.059</v>
      </c>
      <c r="E74" s="7">
        <f aca="true" t="shared" si="2" ref="E74:E93">SUM(D74)/B74*100</f>
        <v>27.202825681198</v>
      </c>
      <c r="F74" s="7">
        <f aca="true" t="shared" si="3" ref="F74:F93">SUM(D74)/C74*100</f>
        <v>49.93610752355495</v>
      </c>
    </row>
    <row r="75" spans="1:6" s="29" customFormat="1" ht="15">
      <c r="A75" s="4" t="s">
        <v>8</v>
      </c>
      <c r="B75" s="6">
        <v>72.043</v>
      </c>
      <c r="C75" s="6">
        <v>72.043</v>
      </c>
      <c r="D75" s="6"/>
      <c r="E75" s="7">
        <f t="shared" si="2"/>
        <v>0</v>
      </c>
      <c r="F75" s="7">
        <f t="shared" si="3"/>
        <v>0</v>
      </c>
    </row>
    <row r="76" spans="1:6" s="29" customFormat="1" ht="15">
      <c r="A76" s="14" t="s">
        <v>24</v>
      </c>
      <c r="B76" s="6">
        <v>2500</v>
      </c>
      <c r="C76" s="6">
        <v>500</v>
      </c>
      <c r="D76" s="6"/>
      <c r="E76" s="3">
        <f t="shared" si="2"/>
        <v>0</v>
      </c>
      <c r="F76" s="3">
        <f t="shared" si="3"/>
        <v>0</v>
      </c>
    </row>
    <row r="77" spans="1:6" s="29" customFormat="1" ht="15">
      <c r="A77" s="14" t="s">
        <v>25</v>
      </c>
      <c r="B77" s="6">
        <v>18418.4</v>
      </c>
      <c r="C77" s="6">
        <v>7674.5</v>
      </c>
      <c r="D77" s="6">
        <v>6651.233</v>
      </c>
      <c r="E77" s="3">
        <f t="shared" si="2"/>
        <v>36.111893541241365</v>
      </c>
      <c r="F77" s="3">
        <f t="shared" si="3"/>
        <v>86.66666232327839</v>
      </c>
    </row>
    <row r="78" spans="1:6" s="28" customFormat="1" ht="14.25">
      <c r="A78" s="1" t="s">
        <v>26</v>
      </c>
      <c r="B78" s="2">
        <f>SUM(B79)+B83</f>
        <v>9093.854</v>
      </c>
      <c r="C78" s="2">
        <f>SUM(C79)+C83</f>
        <v>4243.277</v>
      </c>
      <c r="D78" s="2">
        <f>SUM(D79)+D83</f>
        <v>2948.698</v>
      </c>
      <c r="E78" s="3">
        <f t="shared" si="2"/>
        <v>32.42517418907319</v>
      </c>
      <c r="F78" s="3">
        <f t="shared" si="3"/>
        <v>69.4910560870761</v>
      </c>
    </row>
    <row r="79" spans="1:6" s="28" customFormat="1" ht="15">
      <c r="A79" s="4" t="s">
        <v>10</v>
      </c>
      <c r="B79" s="6">
        <f>756.7+106.005+604.322+357.786+1950.212+11.5+426+402.5+11.668+188.969</f>
        <v>4815.661999999999</v>
      </c>
      <c r="C79" s="6">
        <f>321.793+40.606+349.322+166.184+280.098+4.875+171.37+151.2+10.668+188.969</f>
        <v>1685.085</v>
      </c>
      <c r="D79" s="6">
        <f>262.449+13.326+30.805+33.638+123.821+246.737+2.761+122.302+8.465+188.969+143.031</f>
        <v>1176.3039999999999</v>
      </c>
      <c r="E79" s="7">
        <f>SUM(D79)/B79*100</f>
        <v>24.426631271048507</v>
      </c>
      <c r="F79" s="7">
        <f>SUM(D79)/C79*100</f>
        <v>69.80680499796745</v>
      </c>
    </row>
    <row r="80" spans="1:6" s="29" customFormat="1" ht="15">
      <c r="A80" s="8" t="s">
        <v>2</v>
      </c>
      <c r="B80" s="9">
        <v>98.3</v>
      </c>
      <c r="C80" s="9">
        <v>98.3</v>
      </c>
      <c r="D80" s="9"/>
      <c r="E80" s="7">
        <f t="shared" si="2"/>
        <v>0</v>
      </c>
      <c r="F80" s="7">
        <f t="shared" si="3"/>
        <v>0</v>
      </c>
    </row>
    <row r="81" spans="1:6" s="29" customFormat="1" ht="15">
      <c r="A81" s="8" t="s">
        <v>3</v>
      </c>
      <c r="B81" s="9">
        <v>33.7</v>
      </c>
      <c r="C81" s="9">
        <v>33.7</v>
      </c>
      <c r="D81" s="9"/>
      <c r="E81" s="7">
        <f t="shared" si="2"/>
        <v>0</v>
      </c>
      <c r="F81" s="7">
        <f t="shared" si="3"/>
        <v>0</v>
      </c>
    </row>
    <row r="82" spans="1:6" s="29" customFormat="1" ht="15">
      <c r="A82" s="8" t="s">
        <v>7</v>
      </c>
      <c r="B82" s="9">
        <f>SUM(B79)-B80-B81</f>
        <v>4683.661999999999</v>
      </c>
      <c r="C82" s="9">
        <f>SUM(C79)-C80-C81</f>
        <v>1553.085</v>
      </c>
      <c r="D82" s="9">
        <f>SUM(D79)-D80-D81</f>
        <v>1176.3039999999999</v>
      </c>
      <c r="E82" s="7">
        <f t="shared" si="2"/>
        <v>25.115048865609857</v>
      </c>
      <c r="F82" s="7">
        <f t="shared" si="3"/>
        <v>75.7398339434094</v>
      </c>
    </row>
    <row r="83" spans="1:6" s="29" customFormat="1" ht="15">
      <c r="A83" s="4" t="s">
        <v>8</v>
      </c>
      <c r="B83" s="6">
        <f>1630.18+142.214+2505.798</f>
        <v>4278.192</v>
      </c>
      <c r="C83" s="6">
        <f>1630.18+785.798+142.214</f>
        <v>2558.192</v>
      </c>
      <c r="D83" s="6">
        <f>142.214+1630.18</f>
        <v>1772.394</v>
      </c>
      <c r="E83" s="7">
        <f t="shared" si="2"/>
        <v>41.42857543560458</v>
      </c>
      <c r="F83" s="7">
        <f t="shared" si="3"/>
        <v>69.28307179445483</v>
      </c>
    </row>
    <row r="84" spans="1:6" s="29" customFormat="1" ht="40.5">
      <c r="A84" s="16" t="s">
        <v>27</v>
      </c>
      <c r="B84" s="2">
        <f>8186.092+705.5</f>
        <v>8891.592</v>
      </c>
      <c r="C84" s="2">
        <f>4686.092+200</f>
        <v>4886.092</v>
      </c>
      <c r="D84" s="2">
        <f>3811.092+200</f>
        <v>4011.092</v>
      </c>
      <c r="E84" s="3">
        <f t="shared" si="2"/>
        <v>45.111066724609046</v>
      </c>
      <c r="F84" s="3">
        <f t="shared" si="3"/>
        <v>82.09202773914205</v>
      </c>
    </row>
    <row r="85" spans="1:13" s="32" customFormat="1" ht="15.75">
      <c r="A85" s="17" t="s">
        <v>28</v>
      </c>
      <c r="B85" s="18">
        <f>B5+B14+B23+B36+B43+B50+B57+B64+B66+B69+B71+B76+B77+B78+B84</f>
        <v>2165435.21</v>
      </c>
      <c r="C85" s="18">
        <f>C5+C14+C23+C36+C43+C50+C57+C64+C66+C69+C71+C76+C77+C78+C84</f>
        <v>856298.893</v>
      </c>
      <c r="D85" s="18">
        <f>D5+D14+D23+D36+D43+D50+D57+D64+D66+D69+D71+D76+D77+D78+D84</f>
        <v>669512.277</v>
      </c>
      <c r="E85" s="3">
        <f t="shared" si="2"/>
        <v>30.918139407181798</v>
      </c>
      <c r="F85" s="3">
        <f t="shared" si="3"/>
        <v>78.18675026594948</v>
      </c>
      <c r="G85" s="30"/>
      <c r="H85" s="30"/>
      <c r="I85" s="30"/>
      <c r="J85" s="30"/>
      <c r="K85" s="31"/>
      <c r="L85" s="31"/>
      <c r="M85" s="31"/>
    </row>
    <row r="86" spans="1:13" s="32" customFormat="1" ht="15.75">
      <c r="A86" s="1" t="s">
        <v>10</v>
      </c>
      <c r="B86" s="18">
        <f>B6+B15+B24+B37+B44+B51+B58+B67+B72+B79+B77</f>
        <v>1902816.6919999998</v>
      </c>
      <c r="C86" s="18">
        <f>C6+C15+C24+C37+C44+C51+C58+C67+C72+C79+C77</f>
        <v>743353.6259999999</v>
      </c>
      <c r="D86" s="18">
        <f>D6+D15+D24+D37+D44+D51+D58+D67+D72+D79+D77</f>
        <v>630201.7790000001</v>
      </c>
      <c r="E86" s="3">
        <f>SUM(D86)/B86*100</f>
        <v>33.11941616076596</v>
      </c>
      <c r="F86" s="3">
        <f>SUM(D86)/C86*100</f>
        <v>84.77819397897176</v>
      </c>
      <c r="G86" s="30"/>
      <c r="H86" s="30"/>
      <c r="I86" s="30"/>
      <c r="J86" s="30"/>
      <c r="K86" s="31"/>
      <c r="L86" s="31"/>
      <c r="M86" s="31"/>
    </row>
    <row r="87" spans="1:6" s="33" customFormat="1" ht="15">
      <c r="A87" s="19" t="s">
        <v>2</v>
      </c>
      <c r="B87" s="13">
        <f>B7+B16+B25+B38+B45+B52+B59+B80</f>
        <v>516557.979</v>
      </c>
      <c r="C87" s="13">
        <f>C7+C16+C25+C38+C45+C52+C59+C80</f>
        <v>208217.98199999996</v>
      </c>
      <c r="D87" s="13">
        <f>D7+D16+D25+D38+D45+D52+D59</f>
        <v>179094.08544999998</v>
      </c>
      <c r="E87" s="3">
        <f t="shared" si="2"/>
        <v>34.6706648103097</v>
      </c>
      <c r="F87" s="3">
        <f t="shared" si="3"/>
        <v>86.01278512535004</v>
      </c>
    </row>
    <row r="88" spans="1:6" ht="15">
      <c r="A88" s="19" t="s">
        <v>3</v>
      </c>
      <c r="B88" s="13">
        <f>B8+B17+B26+B39+B46+B53+B60+B81</f>
        <v>187274.819</v>
      </c>
      <c r="C88" s="13">
        <f>C8+C17+C26+C39+C46+C53+C60+C81</f>
        <v>75677.754</v>
      </c>
      <c r="D88" s="13">
        <f>D8+D17+D26+D39+D46+D53+D60</f>
        <v>65067.122950000004</v>
      </c>
      <c r="E88" s="3">
        <f t="shared" si="2"/>
        <v>34.74419214363251</v>
      </c>
      <c r="F88" s="3">
        <f t="shared" si="3"/>
        <v>85.97919403104908</v>
      </c>
    </row>
    <row r="89" spans="1:6" ht="15">
      <c r="A89" s="19" t="s">
        <v>29</v>
      </c>
      <c r="B89" s="13">
        <f>B73+B11+B20+B29+B40+B47+B54+B61</f>
        <v>137845.764</v>
      </c>
      <c r="C89" s="13">
        <f>C73+C11+C20+C29+C40+C47+C54+C61</f>
        <v>58910.688</v>
      </c>
      <c r="D89" s="13">
        <f>D73+D11+D20+D29+D40+D47+D54+D61</f>
        <v>47917.965</v>
      </c>
      <c r="E89" s="3">
        <f t="shared" si="2"/>
        <v>34.76201488498406</v>
      </c>
      <c r="F89" s="3">
        <f t="shared" si="3"/>
        <v>81.3400193187355</v>
      </c>
    </row>
    <row r="90" spans="1:6" ht="15">
      <c r="A90" s="19" t="s">
        <v>7</v>
      </c>
      <c r="B90" s="13">
        <f>B86-B87-B88-B89</f>
        <v>1061138.13</v>
      </c>
      <c r="C90" s="13">
        <f>C86-C87-C88-C89</f>
        <v>400547.20199999993</v>
      </c>
      <c r="D90" s="13">
        <f>D86-D87-D88-D89</f>
        <v>338122.6056000001</v>
      </c>
      <c r="E90" s="3">
        <f t="shared" si="2"/>
        <v>31.86414624456103</v>
      </c>
      <c r="F90" s="3">
        <f t="shared" si="3"/>
        <v>84.41517102396341</v>
      </c>
    </row>
    <row r="91" spans="1:6" ht="15">
      <c r="A91" s="1" t="s">
        <v>8</v>
      </c>
      <c r="B91" s="2">
        <f>B13+B22+B42+B34+B56+B63+B65+B68+B70+B75+B83+B49</f>
        <v>251226.92600000004</v>
      </c>
      <c r="C91" s="2">
        <f>C13+C22+C42+C34+C56+C63+C65+C68+C70+C75+C83+C49</f>
        <v>107559.175</v>
      </c>
      <c r="D91" s="2">
        <f>D13+D22+D42+D34+D56+D63+D65+D68+D70+D75+D83+D49</f>
        <v>35299.406</v>
      </c>
      <c r="E91" s="3">
        <f t="shared" si="2"/>
        <v>14.050805207081982</v>
      </c>
      <c r="F91" s="3">
        <f t="shared" si="3"/>
        <v>32.81859125453501</v>
      </c>
    </row>
    <row r="92" spans="1:6" ht="15">
      <c r="A92" s="1" t="s">
        <v>30</v>
      </c>
      <c r="B92" s="2">
        <f>SUM(B84)</f>
        <v>8891.592</v>
      </c>
      <c r="C92" s="2">
        <f>SUM(C84)</f>
        <v>4886.092</v>
      </c>
      <c r="D92" s="2">
        <f>SUM(D84)</f>
        <v>4011.092</v>
      </c>
      <c r="E92" s="3">
        <f t="shared" si="2"/>
        <v>45.111066724609046</v>
      </c>
      <c r="F92" s="3">
        <f t="shared" si="3"/>
        <v>82.09202773914205</v>
      </c>
    </row>
    <row r="93" spans="1:6" ht="28.5">
      <c r="A93" s="1" t="s">
        <v>31</v>
      </c>
      <c r="B93" s="2">
        <f>SUM(B76)</f>
        <v>2500</v>
      </c>
      <c r="C93" s="2">
        <f>SUM(C76)</f>
        <v>500</v>
      </c>
      <c r="D93" s="2">
        <f>SUM(D76)</f>
        <v>0</v>
      </c>
      <c r="E93" s="3">
        <f t="shared" si="2"/>
        <v>0</v>
      </c>
      <c r="F93" s="3">
        <f t="shared" si="3"/>
        <v>0</v>
      </c>
    </row>
    <row r="96" spans="2:4" ht="15">
      <c r="B96" s="35"/>
      <c r="C96" s="35"/>
      <c r="D96" s="35"/>
    </row>
    <row r="97" spans="2:4" ht="15">
      <c r="B97" s="35"/>
      <c r="C97" s="35"/>
      <c r="D97" s="35"/>
    </row>
    <row r="98" spans="2:4" ht="15">
      <c r="B98" s="35"/>
      <c r="C98" s="35"/>
      <c r="D98" s="3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user368c</cp:lastModifiedBy>
  <dcterms:created xsi:type="dcterms:W3CDTF">1996-10-08T23:32:33Z</dcterms:created>
  <dcterms:modified xsi:type="dcterms:W3CDTF">2015-05-18T13:27:58Z</dcterms:modified>
  <cp:category/>
  <cp:version/>
  <cp:contentType/>
  <cp:contentStatus/>
</cp:coreProperties>
</file>