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7735" windowHeight="12285"/>
  </bookViews>
  <sheets>
    <sheet name="Поточні ремонти" sheetId="1" r:id="rId1"/>
  </sheets>
  <definedNames>
    <definedName name="_xlnm._FilterDatabase" localSheetId="0" hidden="1">'Поточні ремонти'!$A$3:$E$828</definedName>
    <definedName name="Z_0807BC37_3C63_4F33_8764_08C0EDADAA6D_.wvu.FilterData" localSheetId="0" hidden="1">'Поточні ремонти'!$A$3:$E$4</definedName>
    <definedName name="Z_0807BC37_3C63_4F33_8764_08C0EDADAA6D_.wvu.PrintTitles" localSheetId="0" hidden="1">'Поточні ремонти'!$3:$4</definedName>
    <definedName name="Z_11C8950C_C858_4BB6_BC79_930FF6D55BCC_.wvu.FilterData" localSheetId="0" hidden="1">'Поточні ремонти'!$A$3:$E$4</definedName>
    <definedName name="Z_237E48EE_855D_4E22_A215_D7BA155C0632_.wvu.FilterData" localSheetId="0" hidden="1">'Поточні ремонти'!$A$3:$E$4</definedName>
    <definedName name="Z_237E48EE_855D_4E22_A215_D7BA155C0632_.wvu.PrintTitles" localSheetId="0" hidden="1">'Поточні ремонти'!$3:$4</definedName>
    <definedName name="Z_373C6CF9_23BB_4CF5_B1A6_873AA5A22ED1_.wvu.FilterData" localSheetId="0" hidden="1">'Поточні ремонти'!$A$3:$E$907</definedName>
    <definedName name="Z_436A1965_C17E_45AD_8476_CFF58DA45F66_.wvu.FilterData" localSheetId="0" hidden="1">'Поточні ремонти'!$A$3:$E$829</definedName>
    <definedName name="Z_436A1965_C17E_45AD_8476_CFF58DA45F66_.wvu.PrintTitles" localSheetId="0" hidden="1">'Поточні ремонти'!$3:$4</definedName>
    <definedName name="Z_4D494E37_21A4_41F8_BD77_D1C44D691FA4_.wvu.FilterData" localSheetId="0" hidden="1">'Поточні ремонти'!$A$3:$E$829</definedName>
    <definedName name="Z_4D494E37_21A4_41F8_BD77_D1C44D691FA4_.wvu.PrintTitles" localSheetId="0" hidden="1">'Поточні ремонти'!$3:$4</definedName>
    <definedName name="Z_51C58801_F2A5_4735_B500_4677902A49A3_.wvu.FilterData" localSheetId="0" hidden="1">'Поточні ремонти'!$A$3:$E$829</definedName>
    <definedName name="Z_5AD8CF9A_F737_40F1_BC4E_B08BE4CBD52F_.wvu.FilterData" localSheetId="0" hidden="1">'Поточні ремонти'!$A$3:$E$4</definedName>
    <definedName name="Z_6235BC21_3D25_4E8C_898E_855DDDDD2566_.wvu.FilterData" localSheetId="0" hidden="1">'Поточні ремонти'!$A$3:$E$829</definedName>
    <definedName name="Z_6235BC21_3D25_4E8C_898E_855DDDDD2566_.wvu.PrintTitles" localSheetId="0" hidden="1">'Поточні ремонти'!$3:$4</definedName>
    <definedName name="Z_63624039_79B7_4B53_8C9B_62AEAD1FE854_.wvu.FilterData" localSheetId="0" hidden="1">'Поточні ремонти'!$A$3:$E$4</definedName>
    <definedName name="Z_63624039_79B7_4B53_8C9B_62AEAD1FE854_.wvu.PrintTitles" localSheetId="0" hidden="1">'Поточні ремонти'!$3:$4</definedName>
    <definedName name="Z_6C44D0DE_ADF0_4756_855B_4978F9F90A71_.wvu.FilterData" localSheetId="0" hidden="1">'Поточні ремонти'!$A$3:$E$4</definedName>
    <definedName name="Z_6C4C0A1E_9F55_46A5_9256_CBEA636F78CA_.wvu.FilterData" localSheetId="0" hidden="1">'Поточні ремонти'!$A$3:$E$4</definedName>
    <definedName name="Z_6C4C0A1E_9F55_46A5_9256_CBEA636F78CA_.wvu.PrintTitles" localSheetId="0" hidden="1">'Поточні ремонти'!$3:$4</definedName>
    <definedName name="Z_7DFE9900_01DD_44C4_83B3_2BACF6626FCA_.wvu.FilterData" localSheetId="0" hidden="1">'Поточні ремонти'!$A$3:$E$829</definedName>
    <definedName name="Z_943409E6_526F_46BA_BC1E_5958E19D764B_.wvu.FilterData" localSheetId="0" hidden="1">'Поточні ремонти'!$A$3:$E$4</definedName>
    <definedName name="Z_94A2A2F5_7164_46C6_BF9F_AB5DAA84D213_.wvu.FilterData" localSheetId="0" hidden="1">'Поточні ремонти'!$A$3:$E$829</definedName>
    <definedName name="Z_94A2A2F5_7164_46C6_BF9F_AB5DAA84D213_.wvu.PrintTitles" localSheetId="0" hidden="1">'Поточні ремонти'!$3:$4</definedName>
    <definedName name="Z_9B348F59_60C9_4B35_8EF0_0CAA0A744718_.wvu.FilterData" localSheetId="0" hidden="1">'Поточні ремонти'!$A$3:$E$4</definedName>
    <definedName name="Z_B2B7808A_1DE3_4E8C_BA26_3C1F89D42E45_.wvu.FilterData" localSheetId="0" hidden="1">'Поточні ремонти'!$A$3:$E$829</definedName>
    <definedName name="Z_B2B7808A_1DE3_4E8C_BA26_3C1F89D42E45_.wvu.PrintTitles" localSheetId="0" hidden="1">'Поточні ремонти'!$3:$4</definedName>
    <definedName name="Z_C08C5C12_FFBC_4F4C_9138_5D34ADCEB223_.wvu.FilterData" localSheetId="0" hidden="1">'Поточні ремонти'!$A$3:$E$4</definedName>
    <definedName name="Z_C08C5C12_FFBC_4F4C_9138_5D34ADCEB223_.wvu.PrintTitles" localSheetId="0" hidden="1">'Поточні ремонти'!$3:$4</definedName>
    <definedName name="Z_C431141F_117F_49C7_B3E7_D4961D1E781E_.wvu.FilterData" localSheetId="0" hidden="1">'Поточні ремонти'!$A$3:$E$828</definedName>
    <definedName name="Z_C431141F_117F_49C7_B3E7_D4961D1E781E_.wvu.PrintTitles" localSheetId="0" hidden="1">'Поточні ремонти'!$3:$4</definedName>
    <definedName name="Z_C4E1FC53_13AF_4353_A377_998BCF090C4C_.wvu.FilterData" localSheetId="0" hidden="1">'Поточні ремонти'!$A$3:$E$4</definedName>
    <definedName name="Z_C4E1FC53_13AF_4353_A377_998BCF090C4C_.wvu.PrintTitles" localSheetId="0" hidden="1">'Поточні ремонти'!$3:$4</definedName>
    <definedName name="Z_C6E63E91_D3BD_4244_BAC2_2378C38DF10F_.wvu.FilterData" localSheetId="0" hidden="1">'Поточні ремонти'!$A$3:$E$4</definedName>
    <definedName name="Z_D2F149E1_6EAF_4300_8424_5876416379E7_.wvu.FilterData" localSheetId="0" hidden="1">'Поточні ремонти'!$A$3:$E$4</definedName>
    <definedName name="Z_EED4C4C4_2768_4906_8D20_11DE2EB8B1AD_.wvu.FilterData" localSheetId="0" hidden="1">'Поточні ремонти'!$A$3:$E$4</definedName>
    <definedName name="Z_EED4C4C4_2768_4906_8D20_11DE2EB8B1AD_.wvu.PrintTitles" localSheetId="0" hidden="1">'Поточні ремонти'!$3:$4</definedName>
    <definedName name="_xlnm.Print_Titles" localSheetId="0">'Поточні ремонти'!$3:$4</definedName>
  </definedNames>
  <calcPr calcId="124519"/>
</workbook>
</file>

<file path=xl/calcChain.xml><?xml version="1.0" encoding="utf-8"?>
<calcChain xmlns="http://schemas.openxmlformats.org/spreadsheetml/2006/main">
  <c r="D9" i="1"/>
  <c r="D11"/>
  <c r="D12"/>
  <c r="D13"/>
  <c r="D121" s="1"/>
  <c r="D46"/>
  <c r="D50"/>
  <c r="D51"/>
  <c r="D58"/>
  <c r="D80"/>
  <c r="D125"/>
  <c r="D129"/>
  <c r="D132"/>
  <c r="D172"/>
  <c r="D192"/>
  <c r="D196"/>
  <c r="D204"/>
  <c r="D208"/>
  <c r="D223"/>
  <c r="D230"/>
  <c r="D231"/>
  <c r="D233"/>
  <c r="D234"/>
  <c r="D235"/>
  <c r="D236"/>
  <c r="D237"/>
  <c r="D238"/>
  <c r="D239"/>
  <c r="D241"/>
  <c r="D242"/>
  <c r="D243"/>
  <c r="D244"/>
  <c r="D246"/>
  <c r="D248"/>
  <c r="D249"/>
  <c r="D250"/>
  <c r="D251"/>
  <c r="D252"/>
  <c r="D253"/>
  <c r="D255"/>
  <c r="D256"/>
  <c r="D263"/>
  <c r="D265"/>
  <c r="D266"/>
  <c r="D272"/>
  <c r="D273"/>
  <c r="D274"/>
  <c r="D279"/>
  <c r="D282"/>
  <c r="D283"/>
  <c r="D284"/>
  <c r="D285"/>
  <c r="D558" s="1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68"/>
  <c r="D574"/>
  <c r="D579"/>
  <c r="D595"/>
  <c r="D619"/>
  <c r="D625"/>
  <c r="D631"/>
  <c r="D633"/>
  <c r="D635"/>
  <c r="D663"/>
  <c r="D706"/>
  <c r="D744"/>
  <c r="D749" s="1"/>
  <c r="D798"/>
  <c r="D811"/>
  <c r="D815"/>
  <c r="D818"/>
  <c r="D827"/>
</calcChain>
</file>

<file path=xl/sharedStrings.xml><?xml version="1.0" encoding="utf-8"?>
<sst xmlns="http://schemas.openxmlformats.org/spreadsheetml/2006/main" count="2972" uniqueCount="1325">
  <si>
    <t>Х</t>
  </si>
  <si>
    <t>ВСЬОГО:</t>
  </si>
  <si>
    <t>Разом</t>
  </si>
  <si>
    <t>ФОП Дейнеко І.В.</t>
  </si>
  <si>
    <t>ФОП Озейчук С.М.</t>
  </si>
  <si>
    <t>Планування дорожнього полотна</t>
  </si>
  <si>
    <t>ФОП ЦарюкС.В</t>
  </si>
  <si>
    <t>ФОП Сімонян Алік</t>
  </si>
  <si>
    <t>Поточний ремонт доріг</t>
  </si>
  <si>
    <t>Поточний ремонт дороги приватного сектору по провул.Очаківський від буд.№41 до вул.Травневої у  Центральному районі м. Миколаєва</t>
  </si>
  <si>
    <t>провул.Очаківський від буд.№41 до вул.Травневої</t>
  </si>
  <si>
    <t>ФОП Нерсіян Е.С.</t>
  </si>
  <si>
    <t xml:space="preserve">"Поточний ремонт дороги приватного сектору по вул. 7 Слобідська від буд. №28 до пр. Центрального у Центральному районі м. Миколаєва" </t>
  </si>
  <si>
    <t xml:space="preserve">вул. 7 Слобідська від буд. №28 до пр. Центральному </t>
  </si>
  <si>
    <t>Поточний ремонт дороги приватного сектору по вулиці Цілинна від будинку №64 по вулиці Сергія Цвєтка  у Центральному районі м. Миколаєва</t>
  </si>
  <si>
    <t xml:space="preserve">вул. Цілинна  від будинку №64 по вулиці Сергія Цвєтка </t>
  </si>
  <si>
    <t>разом</t>
  </si>
  <si>
    <t>Поточний ремонт зупинок громадського транспорту</t>
  </si>
  <si>
    <t>Поточний ремонт зупинки громадського транспорту «За вимогою» на перетині     пр. Центральний з вул. 3 Слобідська у Центральному районі м. Миколаєва з облаштування направляючих пристроїв огорожі»</t>
  </si>
  <si>
    <t>пр. Центральний з вул. 3 Слобідська</t>
  </si>
  <si>
    <t>ТОВ АМНА ТРЕВАЛ</t>
  </si>
  <si>
    <t>Поточний  ремонт зупинок громадського транспорту у Центральному районі за потребою, у т.ч.зупинка Млинна</t>
  </si>
  <si>
    <t>КП ГДМБ</t>
  </si>
  <si>
    <t>поточного ремонту мереж вуличного освітлення</t>
  </si>
  <si>
    <t xml:space="preserve">поточний ремонт мереж зовнішнього освітлення вул. Поштова біля буд.172-174, 142,142-А, 196у Центральному районі м. Миколаєва </t>
  </si>
  <si>
    <t>вул. Поштова біля буд.172-174, 142,                   142-А, 196</t>
  </si>
  <si>
    <t xml:space="preserve">поточний ремонт мереж зовнішнього освітлення пров. 2-й Інгульськийу Центральному районі м. Миколаєва </t>
  </si>
  <si>
    <t>пров. 2-й Інгульський</t>
  </si>
  <si>
    <t xml:space="preserve">поточний ремонт мереж зовнішнього освітлення пров. 1-й Інгульськийу Центральному районі м. Миколаєва </t>
  </si>
  <si>
    <t>пров. 1-й Інгульський</t>
  </si>
  <si>
    <t>ФОП Царюк С. В.</t>
  </si>
  <si>
    <t>ПП Баркетт</t>
  </si>
  <si>
    <t>Поточний ремонт дитячого майданчика</t>
  </si>
  <si>
    <t xml:space="preserve"> ”Поточний ремонт дитячого майданчика в районі будинку № 28 по вул. Потьомкінській у Центральному районі м. Миколаєва” </t>
  </si>
  <si>
    <t>вул. Потьомкінській ,28</t>
  </si>
  <si>
    <t>ФОП Дейнеко І. В.</t>
  </si>
  <si>
    <t>ФОП Ляшенко І.В</t>
  </si>
  <si>
    <t xml:space="preserve">”Поточний ремонт дитячого майданчика в районі будинку № 6 по вул. Мостобудівників у Центральному районі м. Миколаєва” </t>
  </si>
  <si>
    <t xml:space="preserve"> вул. Мостобудівників,6 </t>
  </si>
  <si>
    <t xml:space="preserve">Послуги з поточного ремонту на об’єкті: ""Острівець здоров'я міні майданчик для занять фітнесом для дітей та дорослих" по вул. Архітектора Старова, буд. 4"Ж" у Центральному районі м. Миколаєва" ( Громадський бюджет) </t>
  </si>
  <si>
    <t>вул. Архітектора Старова, буд. 4"Ж"</t>
  </si>
  <si>
    <t>«Дитячий майданчик «Азбука безпечної дороги» по вулиці Чкалова 110 «А» в Центральному районі м. Миколаєва» ( Громадський бюджет)</t>
  </si>
  <si>
    <t>вул. Чкалова 110 «А»</t>
  </si>
  <si>
    <t>ТОВ "АМАН ТРЕВЕЛ"</t>
  </si>
  <si>
    <t>Поточний  ремонт спортивних та дитячих майданчиків у Центральному районі  "Поточний ремонт тренажерного майданчику для підлітків та дорослих "Be strong" по проспекту Героїв України, 15 у Центральному районі м. Миколаєва" ( Громадський бюджет)</t>
  </si>
  <si>
    <t>проспект Героїв України, 15</t>
  </si>
  <si>
    <t>ФОП Медянцев В. В.</t>
  </si>
  <si>
    <t xml:space="preserve">Поточний  ремонт спортивного та дитячого майданчику вул. Архітектора Старова 10-Г у  Центральному районі м. Миколаєва </t>
  </si>
  <si>
    <t>вул. Архітектора Старова,10-Г</t>
  </si>
  <si>
    <t>ФОП Арутюнян Ван Рузвельтович</t>
  </si>
  <si>
    <t>Проведення робіт по відновленню асфальтового покриття прибудинкових територій та внутрішньоквартальних проїздів</t>
  </si>
  <si>
    <t xml:space="preserve">Поточний ремонт дорожнього покриття внутрішньоквартального проїзду за адресою: вул.ПГУ, 105 у Центральному районі м. Миколаєва </t>
  </si>
  <si>
    <t>ПГУ, 105</t>
  </si>
  <si>
    <t xml:space="preserve">ФОП Сімонян Алік </t>
  </si>
  <si>
    <t xml:space="preserve">Поточний ремонт дорожнього покриття внутрішньоквартального проїзду за адресою:пров. Парусний,1 у Центральному районі м. Миколаєва </t>
  </si>
  <si>
    <t>пров. Парусний,1</t>
  </si>
  <si>
    <t xml:space="preserve">Поточний ремонт дорожнього покриття внутрішньоквартального проїзду за адресою: вул.вул. Оберегова 6/2 у Центральному районі м. Миколаєва </t>
  </si>
  <si>
    <t>вул. Оберегова 6/2</t>
  </si>
  <si>
    <t>ФОП Озейчук С. М.</t>
  </si>
  <si>
    <t xml:space="preserve">Поточний ремонт дорожнього покриття внутрішньоквартального проїзду за адресою: вул. Архітектора Старова, 10-А,10-Б у Центральному районі м. Миколаєва </t>
  </si>
  <si>
    <t>вул. Архітектора Старова, 10-А,10-Б</t>
  </si>
  <si>
    <t xml:space="preserve">Поточний ремонт дорожнього покриття внутрішньоквартального проїзду за адресою: вул. Архітектора Старова, 8-Б у Центральному районі м. Миколаєва </t>
  </si>
  <si>
    <t>вул. Архітектора Старова, 8-Б</t>
  </si>
  <si>
    <t xml:space="preserve">Поточний ремонт дорожнього покриття внутрішньоквартального проїзду за адресою: вул. Безіменна, 97 у Центральному районі м. Миколаєва </t>
  </si>
  <si>
    <t>вул. Безіменна, 97</t>
  </si>
  <si>
    <t xml:space="preserve">Поточний ремонт дорожнього покриття внутрішньоквартального проїзду за адресою: вул. Безіменна, 74 у Центральному районі м. Миколаєва </t>
  </si>
  <si>
    <t>вул. Безіменна, 74</t>
  </si>
  <si>
    <t xml:space="preserve">Поточний ремонт дорожнього покриття внутрішньоквартального проїзду за адресою: ПГУ, 95 у Центральному районі м. Миколаєва </t>
  </si>
  <si>
    <t>ПГУ, 95</t>
  </si>
  <si>
    <t>ФОП Арутюнян Н. Г.</t>
  </si>
  <si>
    <t xml:space="preserve">Поточний ремонт дорожнього покриття внутрішньоквартального проїзду за адресою: вул.ПГУ 75- Б у Центральному районі м. Миколаєва </t>
  </si>
  <si>
    <t>ПГУ 75- Б</t>
  </si>
  <si>
    <t xml:space="preserve">Поточний ремонт дорожнього покриття внутрішньоквартального проїзду за адресою: вул. ПГУ, 23у Центральному районі м. Миколаєва </t>
  </si>
  <si>
    <t>ПГУ, 23</t>
  </si>
  <si>
    <t xml:space="preserve">Поточний ремонт дорожнього покриття внутрішньоквартального проїзду за адресою:вул. Силікатна, 285 у Центральному районі м. Миколаєва </t>
  </si>
  <si>
    <t>вул. Силікатна, 285</t>
  </si>
  <si>
    <t xml:space="preserve">Поточний ремонт дорожнього покриття внутрішньоквартального проїзду за адресою: вул. Потьомкінська,  147 у Центральному районі м. Миколаєва </t>
  </si>
  <si>
    <t>вул. Потьомкінська,  147</t>
  </si>
  <si>
    <t xml:space="preserve">Поточний ремонт дорожнього покриття внутрішньоквартального проїзду за адресою: вул.Потьомкінська,  95,95/1у Центральному районі м. Миколаєва </t>
  </si>
  <si>
    <t>вул. Потьомкінська,  95,95/1</t>
  </si>
  <si>
    <t xml:space="preserve">Поточний ремонт дорожнього покриття внутрішньоквартального проїзду за адресою: вул.Потьомкінська, 93 у Центральному районі м. Миколаєва </t>
  </si>
  <si>
    <t>вул. Потьомкінська,93</t>
  </si>
  <si>
    <t xml:space="preserve">Поточний ремонт дорожнього покриття внутрішньоквартального проїзду за адресою: вул.Потьомкінська, 17 у Центральному районі м. Миколаєва </t>
  </si>
  <si>
    <t>вул. Потьомкінська,17</t>
  </si>
  <si>
    <t xml:space="preserve">Поточний ремонт дорожнього покриття внутрішньоквартального проїзду за адресою: вул. вул. Набережна, 5у Центральному районі м. Миколаєва </t>
  </si>
  <si>
    <t>вул. Набережна, 5</t>
  </si>
  <si>
    <t xml:space="preserve">Поточний ремонт дорожнього покриття внутрішньоквартального проїзду за адресою: вул. Севастопольська, 9-13 у Центральному районі м. Миколаєва </t>
  </si>
  <si>
    <t>вул. Севастопольська, 9-13</t>
  </si>
  <si>
    <t xml:space="preserve">Поточний ремонт дорожнього покриття внутрішньоквартального проїзду за адресою: вул. Севастопольська, 3 у Центральному районі м. Миколаєва </t>
  </si>
  <si>
    <t>вул. Севастопольська, 3</t>
  </si>
  <si>
    <t xml:space="preserve">Поточний ремонт дорожнього покриття внутрішньоквартального проїзду за адресою: пр. Центральний, 141-А у Центральному районі м. Миколаєва </t>
  </si>
  <si>
    <t xml:space="preserve"> пр. Центральний, 141-А</t>
  </si>
  <si>
    <t>ФОП Арутюнян В. Р.</t>
  </si>
  <si>
    <t xml:space="preserve">Поточний ремонт дорожнього покриття внутрішньоквартального проїзду за адресою: вул.  пр. Центральний,  183-А у Центральному районі м. Миколаєва </t>
  </si>
  <si>
    <t xml:space="preserve"> пр. Центральний,   183-А </t>
  </si>
  <si>
    <t xml:space="preserve">Поточний ремонт дорожнього покриття внутрішньоквартального проїзду за адресою: вул.  пр. Центральний,  177-А у Центральному районі м. Миколаєва </t>
  </si>
  <si>
    <t xml:space="preserve"> пр. Центральний,  177-А</t>
  </si>
  <si>
    <t xml:space="preserve">Поточний ремонт дорожнього покриття внутрішньоквартального проїзду за адресою: вул.Шевченко, 35 у Центральному районі м. Миколаєва </t>
  </si>
  <si>
    <t>вул. Шевченко, 35</t>
  </si>
  <si>
    <t xml:space="preserve">Поточний ремонт дорожнього покриття внутрішньоквартального проїзду за адресою: вул.Шевченко, 61 у Центральному районі м. Миколаєва </t>
  </si>
  <si>
    <t>вул. Шевченко, 61</t>
  </si>
  <si>
    <t xml:space="preserve">Поточний ремонт дорожнього покриття внутрішньоквартального проїзду за адресою: вул.Шевченко, 1 у Центральному районі м. Миколаєва </t>
  </si>
  <si>
    <t>вул. Шевченко, 1</t>
  </si>
  <si>
    <t>Адміністрація Центрального району Миколаївської міської ради</t>
  </si>
  <si>
    <t>ФОП Григорян</t>
  </si>
  <si>
    <t>поточний ремонт асфальтового покриття внутріквартальних проїздів</t>
  </si>
  <si>
    <t>вул.Миру, 17а</t>
  </si>
  <si>
    <t>159,595</t>
  </si>
  <si>
    <t>вул.Миру, 17</t>
  </si>
  <si>
    <t>ТОВ "Домстрой-Нико"</t>
  </si>
  <si>
    <t>39,38487</t>
  </si>
  <si>
    <t>вул.Південна, 74</t>
  </si>
  <si>
    <t>Поточний ремонт спортивних,дитячих майданчиків у дворах, а також у межах мікрорайонів</t>
  </si>
  <si>
    <t>пр.Миру, 30</t>
  </si>
  <si>
    <t>ТОВ УКРФОРМДОН</t>
  </si>
  <si>
    <t>вул.Електронна, 56.56а</t>
  </si>
  <si>
    <t>ТОВ "САНСЕТ АВТО"</t>
  </si>
  <si>
    <t>вул.Троїцька,22</t>
  </si>
  <si>
    <t>ТОВ "Миколаївавтодор"</t>
  </si>
  <si>
    <t>поточний ремонт доріг приватного сектору Інгульського району</t>
  </si>
  <si>
    <t>планування земельного полотна</t>
  </si>
  <si>
    <t>ФОП Штангей Л.О.</t>
  </si>
  <si>
    <t>технагляд</t>
  </si>
  <si>
    <t>вул. Електронна</t>
  </si>
  <si>
    <t>поточний ремонт дорожнього покриття</t>
  </si>
  <si>
    <t>провул.Космонавтів</t>
  </si>
  <si>
    <t>поточний ремонт</t>
  </si>
  <si>
    <t xml:space="preserve"> забезпечення функціонування мереж зовнішнього освітлення по пров. Назкрічний</t>
  </si>
  <si>
    <t>пров. Назкрічний</t>
  </si>
  <si>
    <t xml:space="preserve"> забезпечення функціонування мереж зовнішнього освітлення по пров. Ясний</t>
  </si>
  <si>
    <t>пров. Ясний</t>
  </si>
  <si>
    <t xml:space="preserve"> забезпечення функціонування мереж зовнішнього освітлення по вул. Нагірна</t>
  </si>
  <si>
    <t>вул. Нагірна</t>
  </si>
  <si>
    <t xml:space="preserve"> забезпечення функціонування мереж зовнішнього освітлення по вул. Електронна</t>
  </si>
  <si>
    <t xml:space="preserve"> забезпечення функціонування мереж зовнішнього освітлення по пров. Зелений</t>
  </si>
  <si>
    <t>пров. Зелений</t>
  </si>
  <si>
    <t>ФОП Тесьолкін</t>
  </si>
  <si>
    <t>Утримання та поточний ремонт майданчиків під контейнери для збору ТПВ: вул.1Лінія,1, вул. Театральна, 51</t>
  </si>
  <si>
    <t>вул.1Лінія,1, вул. Театральна, 51</t>
  </si>
  <si>
    <t>Утримання та поточний ремонт майданчиків під контейнери для збору ТПВ: вул.Погранична, 240а</t>
  </si>
  <si>
    <t>вул.Погранична, 240а</t>
  </si>
  <si>
    <t>Утримання та поточний ремонт майданчиків під контейнери для збору ТПВ: пр.Богоявленський, 26</t>
  </si>
  <si>
    <t>пр.Богоявленський, 26</t>
  </si>
  <si>
    <t>Утримання та поточний ремонт майданчиків під контейнери для збору ТПВ: вул.Космонавтів,104</t>
  </si>
  <si>
    <t>вул.Космонавтів,104</t>
  </si>
  <si>
    <r>
      <t>Утримання та поточний ремонт майданчиків під контейнери для збору ТПВ: вул.Херсонське шосе, 4,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94</t>
    </r>
  </si>
  <si>
    <t>вул.Херсонське шосе, 4, 94</t>
  </si>
  <si>
    <t>ТОВ "Сансетавто"</t>
  </si>
  <si>
    <t xml:space="preserve">поточний ремонт </t>
  </si>
  <si>
    <t>Поточний ремонт спортивних,дитячих майданчиків у дворах, а також у межах мікрорайонів по  вул.Троїцька, 222</t>
  </si>
  <si>
    <t>вул.Троїцька, 222</t>
  </si>
  <si>
    <t xml:space="preserve">ТОВ "Сансетавто"                        </t>
  </si>
  <si>
    <t>Поточний ремонт спортивних,дитячих майданчиків у дворах, а також у межах мікрорайонів по  вул.Космонавтів, 126/1, 126/2</t>
  </si>
  <si>
    <t xml:space="preserve"> вул.Космонавтів, 126/1, 126/2</t>
  </si>
  <si>
    <t>ТОВ Укрформдон</t>
  </si>
  <si>
    <t>Поточний ремонт спортивних,дитячих майданчиків у дворах, а також у межах мікрорайонів по вул.Електронна, 56,56а,68</t>
  </si>
  <si>
    <t>вул.Електронна, 56,56а,68</t>
  </si>
  <si>
    <t>поточний ремонт асфальтового покриття внутріквартальних проїздів по вул.Космонавтів, 55,  82, 79, пр.Миру, 60, 62, 62а, 64, 66, 68, 70, 70б, 73</t>
  </si>
  <si>
    <t>вул.Космонавтів, 55,  82, 79, пр.Миру, 60, 62, 62а, 64, 66, 68, 70, 70б, 73</t>
  </si>
  <si>
    <t>ПП Будівельна фірма Миколаївавтодор</t>
  </si>
  <si>
    <t>поточний ремонт асфальтового покриття внутріквартальних проїздів по вул.Космонавтів, 55,  82, 79, пр.Миру, 60, 62, 62а, 64, 66, 68, 70, 70б, 72</t>
  </si>
  <si>
    <t>вул.Космонавтів, 55,  82, 79, пр.Миру, 60, 62, 62а, 64, 66, 68, 70, 70б, 72</t>
  </si>
  <si>
    <t>поточний ремонт асфальтового покриття внутріквартальних проїздів по вул.Молодогвардійська, 26а, 28а,; пров.Полярний, 2а, 2б, 2в</t>
  </si>
  <si>
    <t>вул.Молодогвардійська, 26а, 28а,; пров.Полярний, 2а, 2б, 2в</t>
  </si>
  <si>
    <t>поточний ремонт асфальтового покриття внутріквартальних проїздів по пр.Миру, 17а, 17б, 17в</t>
  </si>
  <si>
    <t>пр.Миру, 17а, 17б, 17в</t>
  </si>
  <si>
    <t>поточний ремонт асфальтового покриття внутріквартальних проїздів по вул.Вінграновського, 41.43.46</t>
  </si>
  <si>
    <t>вул.Вінграновського, 41.43.45</t>
  </si>
  <si>
    <t>поточний ремонт асфальтового покриття внутріквартальних проїздів по вул.Вінграновського, 41.43.45</t>
  </si>
  <si>
    <t>поточний ремонт асфальтового покриття внутріквартальних проїздів по вул.Казарського, 3а,5а</t>
  </si>
  <si>
    <t>вул.Казарського, 3а,5а</t>
  </si>
  <si>
    <t>поточний ремонт асфальтового покриття внутріквартальних проїздів вул.28 Армії, 2, 2а, 2б, 5</t>
  </si>
  <si>
    <t>вул.28 Армії, 2, 2а, 2б, 4</t>
  </si>
  <si>
    <t>поточний ремонт асфальтового покриття внутріквартальних проїздів вул.28 Армії, 2, 2а, 2б, 4</t>
  </si>
  <si>
    <t>поточний ремонт асфальтового покриття внутріквартальних проїздів вул. Паркова, 1,3а, 6</t>
  </si>
  <si>
    <t>вул. Паркова, 1,3а, 5</t>
  </si>
  <si>
    <t>поточний ремонт асфальтового покриття внутріквартальних проїздів вул. Паркова, 1,3а, 5</t>
  </si>
  <si>
    <t>поточний ремонт асфальтового покриття внутріквартальних проїздів по пр.Богоявленський, 29, 31, 33, 41, 43, 45</t>
  </si>
  <si>
    <t>пр.Богоявленський, 29, 31, 33, 41, 43, 45</t>
  </si>
  <si>
    <t>поточний ремонт асфальтового покриття внутріквартальних проїздів по ввул.Авангардна, 47,49-51,53А</t>
  </si>
  <si>
    <t>вул.Авангардна, 47,49-51,53А</t>
  </si>
  <si>
    <t>поточний ремонт асфальтового покриття внутріквартальних проїздів по вул.Авангардна, 47,49-51,53А</t>
  </si>
  <si>
    <t>поточний ремонт асфальтового покриття внутріквартальних проїздів вул. Миколаївська,24,26,28,30,32,34,34б</t>
  </si>
  <si>
    <t>вул. Миколаївська,24,26,28,30,32,34,34б</t>
  </si>
  <si>
    <t>Адміністрація Інгульського району Миколаївської міської ради</t>
  </si>
  <si>
    <t>ФОП Басистий Д.О.</t>
  </si>
  <si>
    <t>Поточний ремонт дорожнього покриття по вул. Академіка Рильського від вул. Космонавта Волкова до вул. Литовченка у Корабельному районі м. Миколаєва</t>
  </si>
  <si>
    <t>вул. Академіка Рильського від вул. Космонавта Волкова до вул. Литовченка</t>
  </si>
  <si>
    <t>ФОП Гончаренко А.А.</t>
  </si>
  <si>
    <t>Поточний ремонт дорожнього одягу дороги по вул. Галицинівській від буд. №50 до буд. №56 у Корабельному районі м. Миколаєва</t>
  </si>
  <si>
    <t>вул. Галицинівська від буд. №50 до буд. №56</t>
  </si>
  <si>
    <t>ФОП Стеценко О.М.</t>
  </si>
  <si>
    <t>Поточний ремонт дороги по пров. Зимовий у Корабельному районі м. Миколаєва</t>
  </si>
  <si>
    <t>пров. Зимовий</t>
  </si>
  <si>
    <t>Поточний ремонт дорожнього одягу дороги по вул. Прибузька  у Корабельному районі м. Миколаєва</t>
  </si>
  <si>
    <t>вул. Прибузька</t>
  </si>
  <si>
    <t>Поточний ремонт мереж зовнішнього освітлення</t>
  </si>
  <si>
    <t>Поточний ремонт мереж вуличного освітлення по пров. 3 Прибузький у Корабельному районі м. Миколаєва</t>
  </si>
  <si>
    <t>пров. 3 Прибузький</t>
  </si>
  <si>
    <t>Поточний ремонт мереж вуличного освітлення по вул. Новобудівна біля будинку №57/1 у Корабельному районі м. Миколаєва</t>
  </si>
  <si>
    <t>вул. Новобудівна біля будинку №57/1</t>
  </si>
  <si>
    <t>Поточний ремонт мереж вуличного освітлення по пров. Лесі Українки від вул. Лесі Українки до вул. Пшеніцина у Корабельному районі м. Миколаєва</t>
  </si>
  <si>
    <t>пров. Лесі Українки від вул. Лесі Українки до вул. Пшеніцина</t>
  </si>
  <si>
    <t>Поточний ремонт мереж вуличного освітлення по пров. Чернишевського у Корабельному районі м. Миколаєва</t>
  </si>
  <si>
    <t>пров. Чернишевського</t>
  </si>
  <si>
    <t>Поточний ремонт мереж вуличного освітлення по вул. Толстого від вул. Літньої до вул. Приміської у Корабельному районі м. Миколаєва</t>
  </si>
  <si>
    <t>вул. Толстого від вул. Літньої до вул. Приміської</t>
  </si>
  <si>
    <t>Поточний ремонт мереж вуличного освітлення по вул. Запорізька та вул. 4 Козацька в районі спортивного майданчику у Корабельному районі м. Миколаєва</t>
  </si>
  <si>
    <t>вул. Запорізька та вул. 4 Козацька в районі спортивного майданчику</t>
  </si>
  <si>
    <t>Поточний ремонт мереж вуличного освітлення вздовж берегової зони від вул. Новобудівної до вул. Металургів у Корабельному районі м. Миколаєва</t>
  </si>
  <si>
    <t>вул. Новобудівної до вул. Металургів</t>
  </si>
  <si>
    <t>Поточний ремонт мереж вуличного освітлення по Приозерній та вул. Єсеніна в районі дитячого майданчику у мкрн. Причепівка у Корабельному районі м. Миколаєва</t>
  </si>
  <si>
    <t>вул. Приозерна та вул. Єсеніна в районі дитячого майданчику у мкрн. Причепівка</t>
  </si>
  <si>
    <t>Поточний ремонт мереж вуличного освітлення по вул. Рибній – вул. Березовій у Корабельному районі м. Миколаєва</t>
  </si>
  <si>
    <t>вул. Рибна – вул. Березова</t>
  </si>
  <si>
    <t>Поточний ремонт мереж вуличного освітлення по вул. Новобудівній в районі кінологічного майданчику у Корабельному районі м. Миколаєва</t>
  </si>
  <si>
    <t>вул. Новобудівна в районі кінологічного майданчику</t>
  </si>
  <si>
    <t>Поточний ремонт мереж вуличного освітлення по вул. Металургів – пр. Богоявленський, 314 у Корабельному районі м. Миколаєва</t>
  </si>
  <si>
    <t>вул. Металургів – пр. Богоявленський, 314</t>
  </si>
  <si>
    <t>Поточний ремонт мереж вуличного освітлення по пров. Павлова та пров. 1 Прибузький у Корабельному районі м. Миколаєва</t>
  </si>
  <si>
    <t>пров. Павлова та пров. 1 Прибузький</t>
  </si>
  <si>
    <t>КП "Обрій-ДКП"</t>
  </si>
  <si>
    <t>Поточний ремонт МАФ</t>
  </si>
  <si>
    <t>Встановлення лавок, урн</t>
  </si>
  <si>
    <t>територія Корабельного району</t>
  </si>
  <si>
    <t>ФОП Петрушков А.Є.</t>
  </si>
  <si>
    <t>Поточний ремонт МАФ у Корабельному районі м. Миколаєва</t>
  </si>
  <si>
    <t>Поточний ремонт МАФ, що здійснюється у Корабельному районі м. Миколаєва у 2019 році</t>
  </si>
  <si>
    <t>Поточний ремонт огорожі по пр. Богоявленському від залізничного переїзду до буд. №311 та по пр. Богоявленському в районі перехрестя з вул. Гагаріна у Корабельному районі м. Миколаєва</t>
  </si>
  <si>
    <t>по пр. Богоявленському від залізничного переїзду до буд. №311</t>
  </si>
  <si>
    <t>Поточний ремонт огорожі по пр. Богоявленському в районі перехрестя з вул. 295 Стрілецької дивізії та вул. Прибузької у Корабельному районі м. Миколаєва</t>
  </si>
  <si>
    <t>вул. 295 Стрілецької дивізії та вул. Прибузька</t>
  </si>
  <si>
    <t>Поточний ремонт контейнерних майданчиків</t>
  </si>
  <si>
    <t>Поточний ремонт контейнерного майданчика в мкр. Кульбакіно по вул. Райдужна, 61 у Корабельному районі м. Миколаєва</t>
  </si>
  <si>
    <t>вул. Райдужна, 61</t>
  </si>
  <si>
    <t>Поточний ремонт контейнерного майданчика по пров. Молодіжний, 2 у Корабельному районі м. Миколаєва</t>
  </si>
  <si>
    <t>пров. Молодіжний, 2</t>
  </si>
  <si>
    <t>Поточний ремонт контейнерних майданчиків по пр. Богоявленському, 293, вул. Металургів, 34-36 у Корабельному районі м. Миколаєва</t>
  </si>
  <si>
    <t>пр. Богоявленський, 293, вул. Металургів, 34-36</t>
  </si>
  <si>
    <t>Поточний ремонт контейнерного майданчика по пр. Богоявленський, 314/2 у Корабельному районі м. Миколаєва</t>
  </si>
  <si>
    <t>пр. Богоявленський, 314/2</t>
  </si>
  <si>
    <t>Поточний ремонт контейнерного майданчика по вул. Айвазовського, 11-б,в у Корабельному районі м. Миколаєва</t>
  </si>
  <si>
    <t>вул. Айвазовського, 11-б</t>
  </si>
  <si>
    <t>Поточний ремонт зупинок</t>
  </si>
  <si>
    <t>Поточний ремонт зупинки громадського транспорту по об’їзній дорозі зупинка «вул. Фруктова» та зупинка «Хлібзавод» у Корабельному районі м. Миколаєва</t>
  </si>
  <si>
    <t>по об’їзній дорозі зупинка «вул. Фруктова» та зупинка «Хлібзавод»</t>
  </si>
  <si>
    <t>Поточний ремонт зупинки громадського транспорту по вул. Айвазовського зупинка «Ліцей» у Корабельному районі м. Миколаєва</t>
  </si>
  <si>
    <t>вул. Айвазовського зупинка «Ліцей»</t>
  </si>
  <si>
    <t>ФОП Озейчук С.М</t>
  </si>
  <si>
    <t>Поточний ремонт тротуарів</t>
  </si>
  <si>
    <t>Поточний ремонт тротуару по об’їзній дорозі від озера до зупинки «Єсеніна» у Корабельному районі м. Миколаєва</t>
  </si>
  <si>
    <t>по об’їзній дорозі від озера до зупинки «Єсеніна»</t>
  </si>
  <si>
    <t>Поточний ремонт тротуару по вул. Г. Сагайдачного ріг вул. Уральської у Корабельному районі м. Миколаєва</t>
  </si>
  <si>
    <t>вул. Г. Сагайдачного ріг вул. Уральської</t>
  </si>
  <si>
    <t>Поточний ремонт внутрішньоквартальних проїздів</t>
  </si>
  <si>
    <t>Поточний ремонт внутрішньоквартального проїзду по вул. Океанівській, 52-54 (зі східної сторони) у Корабельному районі м. Миколаєва</t>
  </si>
  <si>
    <t>вул. Океанівська, 52-54 (зі східної сторони)</t>
  </si>
  <si>
    <t>Поточний ремонт внутрішньоквартального проїзду по вул. Райдужна, 51 у Корабельному районі м. Миколаєва</t>
  </si>
  <si>
    <t>вул. Райдужна, 51</t>
  </si>
  <si>
    <t>ПП "Тігерон"</t>
  </si>
  <si>
    <t>Поточний ремонт дитячих та спортивних майданчиків</t>
  </si>
  <si>
    <t>Поточний ремонт дитячого майданчику по вул. Олега Ольжича, 3-В у Корабельному районі м. Миколаєва</t>
  </si>
  <si>
    <t>вул. Олега Ольжича, 3-В</t>
  </si>
  <si>
    <t>Поточний ремонт дитячого та спортивного майданчиків по пр. Богоявленський, 295 в Корабельному районі м. Миколаєва</t>
  </si>
  <si>
    <t>пр. Богоявленський, 295</t>
  </si>
  <si>
    <t>Поточний ремонт конструкцій та елементів дитячих майданчиків за адресами: пр. Богоявленський, 325, 327 «Лінкор», пр. Корабелів, 2, 4 «Казка» та по пр. Корабелів, 11 у Корабельному районі м. Миколаєва</t>
  </si>
  <si>
    <t>пр. Богоявленський, 325, 327 «Лінкор», пр. Корабелів, 2, 4 «Казка» та по пр. Корабелів, 11</t>
  </si>
  <si>
    <t>Поточний ремонт дитячого майданчику по вул. Металургів, 34 в Корабельному районі м. Миколаєва</t>
  </si>
  <si>
    <t>вул. Металургів, 34</t>
  </si>
  <si>
    <t>Поточний ремонт дитячого та спортивного майданчиків по пр. Богоявленський, 448 (бібліотека) в Корабельному районі м. Миколаєва</t>
  </si>
  <si>
    <t xml:space="preserve"> пр. Богоявленський, 448</t>
  </si>
  <si>
    <t>Поточний ремонт дитячого майданчику по пр. Богоявленський, 323/2 у Корабельному районі м. Миколаєва</t>
  </si>
  <si>
    <t>пр. Богоявленський, 323/2</t>
  </si>
  <si>
    <t>ТОВ "Ніковіта-Сервіс"</t>
  </si>
  <si>
    <t>Поточний ремонт огорожі дитячого майданчику, розташованого за адресою: м. Миколаїв, пр. Богоявленський, 323/2</t>
  </si>
  <si>
    <t>Адміністрація Корабельного району Миколаївської міської ради</t>
  </si>
  <si>
    <t>ВСЬОГО по поточному ремонту зупинок громадського транспорту</t>
  </si>
  <si>
    <t>ФОП Дейнеко Іван Вікторович (№2989513713)</t>
  </si>
  <si>
    <t>Технічний нагляд за поточним ремонтом зупинок громадського транспорту</t>
  </si>
  <si>
    <t>ФОП Вернієнко В.В. (3148321699)</t>
  </si>
  <si>
    <t>Поточний ремонт</t>
  </si>
  <si>
    <t>Поточний ремонт зупинки громадського транспорту від Центрального ринку: зуп."Залізничний вокзал"</t>
  </si>
  <si>
    <t>від Центрального ринку: зуп."Залізничний вокзал"</t>
  </si>
  <si>
    <t>Поточний ремонт зупинки громадського транспорту від Центрального ринку: зуп."ЧСЗ"</t>
  </si>
  <si>
    <t>від Центрального ринку: зуп."ЧСЗ"</t>
  </si>
  <si>
    <t>Поточний ремонт зупинки громадського транспорту від Центрального ринку: зуп."Громадянська"</t>
  </si>
  <si>
    <t>від Центрального ринку: зуп."Громадянська"</t>
  </si>
  <si>
    <t>Поточний ремонт зупинки громадського транспорту від Центрального ринку: зуп."1-Слобідська"</t>
  </si>
  <si>
    <t>від Центрального ринку: зуп."1-Слобідська"</t>
  </si>
  <si>
    <t>Поточний ремонт зупинки громадського транспорту від Центрального ринку: зуп."3-Слобідська"</t>
  </si>
  <si>
    <t>від Центрального ринку: зуп."3-Слобідська"</t>
  </si>
  <si>
    <t>Поточний ремонт зупинки громадського транспорту від Центрального ринку: зуп."4-Слобідська"</t>
  </si>
  <si>
    <t>від Центрального ринку: зуп."4-Слобідська"</t>
  </si>
  <si>
    <t>Поточний ремонт зупинки громадського транспорту від Центрального ринку: зуп."6-Слобідська біля буд.119/4"</t>
  </si>
  <si>
    <t>від Центрального ринку: зуп."6-Слобідська біля буд.119/4"</t>
  </si>
  <si>
    <t>Поточний ремонт зупинки громадського транспорту від Центрального ринку: зуп."Погранична біля буд.119-б"</t>
  </si>
  <si>
    <t>від Центрального ринку: зуп."Погранична біля буд.119-б"</t>
  </si>
  <si>
    <t>Поточний ремонт зупинки громадського транспорту від Центрального ринку: зуп."Чкалова"</t>
  </si>
  <si>
    <t>від Центрального ринку: зуп."Чкалова"</t>
  </si>
  <si>
    <t>Поточний ремонт зупинки громадського транспорту від Центрального ринку: зуп."Корабелів"</t>
  </si>
  <si>
    <t>від Центрального ринку: зуп."Корабелів"</t>
  </si>
  <si>
    <t>Поточний ремонт зупинки громадського транспорту від Центрального ринку: зуп."Даля"</t>
  </si>
  <si>
    <t>від Центрального ринку: зуп."Даля"</t>
  </si>
  <si>
    <t>Поточний ремонт зупинки громадського транспорту від Центрального ринку: зуп."Погранична"</t>
  </si>
  <si>
    <t>від Центрального ринку: зуп."Погранична"</t>
  </si>
  <si>
    <t>Поточний ремонт зупинки громадського транспорту від Центрального ринку: зуп."6-Слобідська"</t>
  </si>
  <si>
    <t>від Центрального ринку: зуп."6-Слобідська"</t>
  </si>
  <si>
    <t>Поточний ремонт зупинки громадського транспорту від Центрального ринку: зуп."Образцова"</t>
  </si>
  <si>
    <t>від Центрального ринку: зуп."Образцова"</t>
  </si>
  <si>
    <t>ФОП Хіврич В.Г. (№2285501950)</t>
  </si>
  <si>
    <t xml:space="preserve">Поточний ремонт зупинки громадського транспорту Садова по вул.Кузнецька (походу руху, трамваю до центру) в  Заводському районі м. Миколаєва </t>
  </si>
  <si>
    <t xml:space="preserve"> Садова по вул.Кузнецька (походу руху, трамваю до центру) в  Заводському районі м. Миколаєва </t>
  </si>
  <si>
    <t>Технічний нагляд</t>
  </si>
  <si>
    <t>ПП "БАРКЕТТ" (42882525)</t>
  </si>
  <si>
    <t>Поточний ремонт зупинки громадського транспорту у  Заводському районі м. Миколаєва по проспекту Центральному в районі будинку № 3, по вул. Крилова в районі будинку № 28 та по пр.Центральному стадіону</t>
  </si>
  <si>
    <t xml:space="preserve"> у  Заводському районі м. Миколаєва по проспекту Центральному в районі будинку № 3, по вул. Крилова в районі будинку № 28 та по пр.Центральному стадіону</t>
  </si>
  <si>
    <t>Поточний ремонт зупинки громадського транспорту біля житлового будинку по вул. Фалеєвська, 91 в  Заводському районі м. Миколаєва</t>
  </si>
  <si>
    <t xml:space="preserve"> біля житлового будинку по вул. Фалеєвська, 91 в  Заводському районі м. Миколаєва</t>
  </si>
  <si>
    <t>ВСЬОГО поточний ремонт зеленої зони</t>
  </si>
  <si>
    <t>ТОВ "ПРОМБАЗИС"</t>
  </si>
  <si>
    <t>Благоустрій зеленої зони біля заводу "Тесмі"</t>
  </si>
  <si>
    <t>зелена зони біля заводу "Тесмі"</t>
  </si>
  <si>
    <t>ВСЬОГО поточний ремонт дорожнього покриття</t>
  </si>
  <si>
    <t>ПП "Будівельна Фірма"Миколаївавтодор" (№42677684)</t>
  </si>
  <si>
    <t>Поточний ремонт дорожнього покриття по вул. 7 Поперечна у Заводському районі м.Миколаєва</t>
  </si>
  <si>
    <t>вул. 7 Поперечна у Заводському районі м.Миколаєва</t>
  </si>
  <si>
    <t>ВСЬОГО поточний ремонт мереж зовнішнього освітлення</t>
  </si>
  <si>
    <t>КП ГДМБ (№ 03331466)</t>
  </si>
  <si>
    <t>Поточний ремонт мереж зовнішнього освітлення на розі вулиць Погранична та М.Морська у Заводському районі м.Миколаєва</t>
  </si>
  <si>
    <t xml:space="preserve"> на розі вулиць Погранична та М.Морська у Заводському районі м.Миколаєва</t>
  </si>
  <si>
    <t>Поточний ремонт мереж зовнішнього освітлення по вул. Покрівська від вул. Левадна до мосту через Бузький лиман в мкр. В.Корениха в Заводському районі м.Миколаєва</t>
  </si>
  <si>
    <t>вул. Покрівська від вул. Левадна до мосту через Бузький лиман в мкр. В.Корениха в Заводському районі м.Миколаєва</t>
  </si>
  <si>
    <t>ФОП Богатирьов А.П.                 (код 2491211419)</t>
  </si>
  <si>
    <t>Оцінка 19 кабельних ліній</t>
  </si>
  <si>
    <t>ТОВ "Светолюкс-Электромонтаж" (2600333242)</t>
  </si>
  <si>
    <t>Поточний ремонт зовнішнього електропостачання розподільчого щита за адресою: вул.Курортна, біля паркової зони у м.Миколаєві</t>
  </si>
  <si>
    <r>
      <rPr>
        <sz val="11"/>
        <color theme="1"/>
        <rFont val="Times New Roman"/>
        <family val="1"/>
        <charset val="204"/>
      </rPr>
      <t>вул.Курортна, біля паркової зони у м.Миколаєві</t>
    </r>
  </si>
  <si>
    <t>ВСЬОГО поточний ремонт внутришньоквартальних проїздів</t>
  </si>
  <si>
    <t>ПП "Будівельна фірма Миколаївавтодор"</t>
  </si>
  <si>
    <t>Поточний ремонт внутрішньоквартальних проїздів  по вул. Нікольська (всі 7 корпусів; внутрішньодворовий простір) у Заводському районі м.Миколаєва</t>
  </si>
  <si>
    <t xml:space="preserve"> вул. Нікольська (всі 7 корпусів; внутрішньодворовий простір) у Заводському районі м.Миколаєва</t>
  </si>
  <si>
    <t>Поточний ремонт внутрішньоквартального проїзду  по пр. Центральний, 16 у Заводському районі м.Миколаєва</t>
  </si>
  <si>
    <t>пр. Центральний, 16 у Заводському районі м.Миколаєва</t>
  </si>
  <si>
    <t>Поточний ремонт внутрішньоквартальних проїздів по вул. Заводська, 13-17 у Заводському районі м.Миколаєва</t>
  </si>
  <si>
    <t>вул. Заводська, 13-17 у Заводському районі м.Миколаєва</t>
  </si>
  <si>
    <t>Поточний ремонт внутрішньоквартальних проїздів  по вул. бульвар Бузький, 3-Б, 5, 5-А, 5-Б, 9, 11 у Заводському районі м.Миколаєва</t>
  </si>
  <si>
    <t>вул. бульвар Бузький, 3-Б, 5, 5-А, 5-Б, 9, 11 у Заводському районі м.Миколаєва</t>
  </si>
  <si>
    <t>Поточний ремонт внутрішньоквартальних проїздів  по вул. Шосейна, 2, 6 у Заводському районі м.Миколаєва</t>
  </si>
  <si>
    <t>вул. Шосейна, 2, 6 у Заводському районі м.Миколаєва</t>
  </si>
  <si>
    <t>ВСЬОГО поточний ремонт дитячих ігрових майданчиків</t>
  </si>
  <si>
    <t>Поточний ремонт  дитячого майданчику по вул. Озерна, 15-Б, 15-В у Заводському районі  м.Миколаєва</t>
  </si>
  <si>
    <t xml:space="preserve"> вул. Озерна, 15-Б, 15-В у Заводському районі  м.Миколаєва</t>
  </si>
  <si>
    <t>Поточний ремонт дитячого ігрового майданчику по вул. Г. Карпенка, 37-Б у Заводському районі м.Миколаєва</t>
  </si>
  <si>
    <t>вул. Г. Карпенка, 37-Б у Заводському районі м.Миколаєва</t>
  </si>
  <si>
    <t>Поточний ремонт дитячого спортивно-ігрового майданчика по вул.Терасна, 13 Б в Заводському районі у м.Миколаєві</t>
  </si>
  <si>
    <t xml:space="preserve"> вул.Терасна, 13 Б в Заводському районі у м.Миколаєві</t>
  </si>
  <si>
    <t>ТОВ "МЕТЕОР-ЮГ"</t>
  </si>
  <si>
    <t>Поточний ремонт приміщення громадського пункту охорони правопорядку по вул.Робоча, буд.7</t>
  </si>
  <si>
    <t>вул.Робоча, буд.7</t>
  </si>
  <si>
    <t>Адміністрація Заводського району Миколаївської міської ради</t>
  </si>
  <si>
    <t>Департамент внутрішнього фінансового контролю, нагляду та протидії корупції Миколаївської міської ради</t>
  </si>
  <si>
    <t>Департамент фінансів Миколаївської міської ради</t>
  </si>
  <si>
    <t>Управління земельних ресурсів Миколаївської міської ради</t>
  </si>
  <si>
    <t>Департамент з надання адміністративних послуг Миколаївської міської ради</t>
  </si>
  <si>
    <t>Управління комунального майна Миколаївської міської ради</t>
  </si>
  <si>
    <t>ТОВ «ГЕРК»</t>
  </si>
  <si>
    <t>монтаж світильників, встановлення змішувачів, регулювання змивного бачка з ремонтом, очищення вручну внутрішніх поверхонь стін, антисептування стін, огрунтовка стелі та стін, вапняне фарбування, прочищення вентиляційних коробів, встановлення металевих дверних коробок, встановлення вентиляторів та фільтрів повітряних</t>
  </si>
  <si>
    <t>захисна споруда</t>
  </si>
  <si>
    <t>пр.Миру, 2а</t>
  </si>
  <si>
    <t>встановлення фільтрів повітряних</t>
  </si>
  <si>
    <t>вул. 8-Повздовжня,2с</t>
  </si>
  <si>
    <t>Управління з питань надзвичайних ситуацій та цивільного захисту населення Миколаївської міської ради</t>
  </si>
  <si>
    <t>Управління державного архітектурно-будівельного контролю Миколаївської міської ради</t>
  </si>
  <si>
    <t>Департамент  архітектури та містобудування Миколаївської міської ради</t>
  </si>
  <si>
    <t>Управління капітального будівництва Миколаївської міської ради</t>
  </si>
  <si>
    <t>Департамент енергетики, енергозбередення та запровадження інноваційних технологій Миколаївської міської ради</t>
  </si>
  <si>
    <t>КП "ЕЛУ автодоріг"</t>
  </si>
  <si>
    <t>Поточний ремонт дорожнього покриття</t>
  </si>
  <si>
    <t>вул. Паромний узвіз</t>
  </si>
  <si>
    <t>ПП "БФ"Миколаївавтодор"</t>
  </si>
  <si>
    <t>вул.28 Армії</t>
  </si>
  <si>
    <t>вул.Райдужна</t>
  </si>
  <si>
    <t>Поточний ремонт дороги</t>
  </si>
  <si>
    <t>вул.Знам'янська</t>
  </si>
  <si>
    <t>вул.9 Воєнна ріг вул.Привільна</t>
  </si>
  <si>
    <t>вул. Старофортечна</t>
  </si>
  <si>
    <t>Інші об'єкти дорожньої інфракстуктури</t>
  </si>
  <si>
    <t>КП "ЕЛУ автодоріг", ПП "БФ"Миколаївавтодор"</t>
  </si>
  <si>
    <t>Ліквідація місць концентрації ДТП по вулицях міста</t>
  </si>
  <si>
    <t>Всього</t>
  </si>
  <si>
    <t>Вул.Чкалова у дв.буд.№98А-108 в м.Мик.</t>
  </si>
  <si>
    <t xml:space="preserve">м.Миколаїв </t>
  </si>
  <si>
    <t>Вул.Терасна взд.буд.№1-13 в м.Мик.</t>
  </si>
  <si>
    <t>Вул.Потьомкінська взд.буд.№147,147-А,149в м.Мик.</t>
  </si>
  <si>
    <t>Вул.Озерна у дв.буд.№25-47 в м.Мик.</t>
  </si>
  <si>
    <t>Вул.Колодязна взд.буд.№10,10-А в м.Мик.</t>
  </si>
  <si>
    <t>Вул.3 Слобідська у дв.буд.№51,51А,51Б,57 в м.Мик.</t>
  </si>
  <si>
    <t>Дезінсекція житлового фонду</t>
  </si>
  <si>
    <t>ФОП Седнєва І.В.</t>
  </si>
  <si>
    <t>поточ.рем.покрівлі житл.буд,по вул.Райдужна,51</t>
  </si>
  <si>
    <t>пот.рем.покр.ж/б,вул.Райдужна,51</t>
  </si>
  <si>
    <t>ФОП Пашкевич В. М.</t>
  </si>
  <si>
    <t>пот.рем.внутрішньобуд. ел. мер. ж/б, вул. Обсерваторна, 1/7</t>
  </si>
  <si>
    <t>пот.рем.внутрішньобуд.ел.мер. ж/б,вул. Обсерваторна,1/9</t>
  </si>
  <si>
    <t>пот.рем.внутрішньобуд. ел. мер. ж/б, вул. Обсерваторна, 1/8</t>
  </si>
  <si>
    <t>ФОП Медянцев В.В.</t>
  </si>
  <si>
    <t>пот.рем.сист.водоп.та водовідв.ж/б,вул.Будівельн.,22</t>
  </si>
  <si>
    <t>пот.рем.сист.хол.водоп.в ж/б,в.Передова,52-В</t>
  </si>
  <si>
    <t>пот.рем.сис.хол.водоп.і водов.в ж/б,в.А.Старова,6В</t>
  </si>
  <si>
    <t>пот.рем.сис.хол.водоп.та водов.в ж/б,в.А.Старова,6В</t>
  </si>
  <si>
    <t>ФОП Козаков Р. М.</t>
  </si>
  <si>
    <t>поточ.рем.сход.кліт.з зам.вікон у ж/б,пр.Корабел.,16а</t>
  </si>
  <si>
    <t>поточ.рем.сход.кліт.з зам.вікон у ж/б,вул.Океанів.,буд.28</t>
  </si>
  <si>
    <t>ФОП Жуковский В.Є.</t>
  </si>
  <si>
    <t>пот.рем.сход.кліт.із зам.вікон 1під.ж/б пр.Богоявл.,285</t>
  </si>
  <si>
    <t>поточ.рем. 2 під.ж/б по вул.Космонавтів,51</t>
  </si>
  <si>
    <t>поточ.рем.ж/б, пр. Корабелів, 12-А</t>
  </si>
  <si>
    <t>пот.рем.ж/б,вул.Космонавтів,51</t>
  </si>
  <si>
    <t>пот.рем.сход.кліт.із .зам.вік.в ж/б по в.Океанів.,47</t>
  </si>
  <si>
    <t>пот.рем.сход.кліт.із .зам.двер.у ж/б по в.Арх.Стар.6А</t>
  </si>
  <si>
    <t>пот.рем.ж/б,вул.Малко-Тирнівська,75</t>
  </si>
  <si>
    <t>пот.рем.ж/б,ОСББ"Северянин"вул. Олійника,24/3</t>
  </si>
  <si>
    <t>пот.рем.сход.кліт.із .зам.вік.в ж/б,в.Озерна,8</t>
  </si>
  <si>
    <t>пот.рем.сход.кліт.із .зам.вік.в ж/б,в.Карпенко, 61</t>
  </si>
  <si>
    <t>пот.рем.ж/б,вул.Г.Попеля,170</t>
  </si>
  <si>
    <t>ФОП Жорова М. А.</t>
  </si>
  <si>
    <t>пот.рем.сист.водоп.і водов.в ж.б.по пр.Миру,30</t>
  </si>
  <si>
    <t>пот.рем.сист.водов.в ж.б.по в.Будівельників,18-А</t>
  </si>
  <si>
    <t>ФОП Волошин О. Г.</t>
  </si>
  <si>
    <t>пот.рем.сист. опалення в ж/б,вул.8 Березня,14</t>
  </si>
  <si>
    <t>поточ.рем.сист.водовідв.в ж/б по в.Арх.Старова,4В</t>
  </si>
  <si>
    <t>поточ.рем.сист.водовідв.в ж/б по в.Арх.Старова,4Б</t>
  </si>
  <si>
    <t>ФОП Бобров О. М.</t>
  </si>
  <si>
    <t>поточ.рем.пандусу житл.буд.по вул.Шнеєрсона,2, 1під.</t>
  </si>
  <si>
    <t>поточ.рем.пандусу ж/б по вул.Айвазовського,5а,2 під.</t>
  </si>
  <si>
    <t>пот.рем.пандусу ж/б,вул.Заводська,13/5(п.1)</t>
  </si>
  <si>
    <t>поточ.рем.покр.ж/б,вул.Садова,15</t>
  </si>
  <si>
    <t>поточ.рем.пандусу ж/б, вул.Громадянська,34Б,1 під.</t>
  </si>
  <si>
    <t>пот.рем.пандусу ж/б, пр.Г.України,19(3п.)</t>
  </si>
  <si>
    <t>пот.рем.пандусу ж/б,вул.Арх.Старова,4є(п.3)</t>
  </si>
  <si>
    <t>ФОП Агафонова Т.О.</t>
  </si>
  <si>
    <t>поточ.рем.сист. опален. ж/б,вул.Космонав.,57а</t>
  </si>
  <si>
    <t>пот.рем.вимощення в жит.буд.по пр.Центральний,155</t>
  </si>
  <si>
    <t>ТОВ"ЦЕНТРЛІФТ"</t>
  </si>
  <si>
    <t>поточ.рем.ліфта в ж/б вул.Вокзал.,буд.59 (п.1)</t>
  </si>
  <si>
    <t>поточ.рем.ліфта в ж/б вул.Арх.Стар.,б.4Б (п.1)</t>
  </si>
  <si>
    <t>поточ.рем.ліфта в ж/б вул.Кобера,буд.13Б (п.2)</t>
  </si>
  <si>
    <t>пот.рем.ліфта в ж/б,вул.Нагірна,87/1 (п.1)</t>
  </si>
  <si>
    <t>пот.рем.ліфта в ж/б,вул.Ізмалкова,7(п.1)</t>
  </si>
  <si>
    <t>пот.рем.ліфта у ж.б.,вул.6Слобідська,48</t>
  </si>
  <si>
    <t>пот.рем.ліфта у ж.б.,вул.Квітнева,52(п.2)</t>
  </si>
  <si>
    <t>пот.рем.ліфта у ж.б.,пр.Миру,56 (п.1)</t>
  </si>
  <si>
    <t>пот.рем.ліфта у ж.б.по пр-т Г.України буд.99 (2п.)</t>
  </si>
  <si>
    <t>пот.рем.ліфта у ж.б.по вул.Новобуз.,буд.101 (3п.)</t>
  </si>
  <si>
    <t>пот.рем.ліфта у ж.б. по пров.Першотравневий,63(2п.)</t>
  </si>
  <si>
    <t>пот.рем.ліфта у жит.буд.по буд.вул.Оберегова,6(п.1)</t>
  </si>
  <si>
    <t>пот.рем.ліфта у житл.буд.по вул.Передова,52д(п.2)</t>
  </si>
  <si>
    <t>пот.рем.ліфта у жит.буд.по буд.вул.Квітнева,52(п.1)</t>
  </si>
  <si>
    <t>пот.рем.ліфта у ж.б.по вул. Новозаводська,2(п.4)</t>
  </si>
  <si>
    <t>пот.рем.ліфта у житл.буд.по пров.Кобера, 13-А</t>
  </si>
  <si>
    <t>пот.рем.ліфта у житл.буд.по вул. Театральна, 45</t>
  </si>
  <si>
    <t>ТОВ"БУД-КОН"</t>
  </si>
  <si>
    <t>пот.рем.внутрішн.електр.мереж.ж/б,пр.Богоявленський,42</t>
  </si>
  <si>
    <t>пот.рем.вимощ. житл.буд.ОСББ"Луч" вул.Південна,27</t>
  </si>
  <si>
    <t>ТОВ"АЛЬЯНСБУД МИКОЛАЇВ"</t>
  </si>
  <si>
    <t>пот.рем.мережі електроп.ж/б вул.Адмірал.,2 корп.7</t>
  </si>
  <si>
    <t>поточ.рем.покрівлі ж/б,вул.Кузнецька,130,кор.8</t>
  </si>
  <si>
    <t>пот.рем.м'якої пок.ж/б,вул.Арх.Старова,2/6,кор.3</t>
  </si>
  <si>
    <t>пот.рем.під. із зам.вікон в ж/б, в.О.Ольжича, 3-В</t>
  </si>
  <si>
    <t>пот.рем.під.із зам.вікон в ж/б,вул.О.Ольжича,3-А</t>
  </si>
  <si>
    <t>пот.рем.під.із зам.вікон в ж/б,вул.О.Ольжича,3-Б</t>
  </si>
  <si>
    <t>ТОВ"ІМПОРТСТРОЙ"</t>
  </si>
  <si>
    <t>пот.рем.покрівлі жит.буд.по вул.Сидорчука,25</t>
  </si>
  <si>
    <t>ТОВ Центральний 1</t>
  </si>
  <si>
    <t>поточ.рем.сист.холод.водопост.ж.б.за адр.пр.Центр.,69</t>
  </si>
  <si>
    <t>ТОВ ЖЕК" Забота"</t>
  </si>
  <si>
    <t>пот.рем.сист.водовідвед.житл.буд.вул.Колодяз.,10</t>
  </si>
  <si>
    <t>ТОВ "Укр.-буд.-комп."</t>
  </si>
  <si>
    <t>поточ.рем.м'якої покр.жит.буд.по пр.Героїв Укр.,97б</t>
  </si>
  <si>
    <t>поточ.рем.ганків під'їзд.житл.буд.по пр.Центр,187</t>
  </si>
  <si>
    <t>ТОВ "СТРОЙ-ВЕКТОР"</t>
  </si>
  <si>
    <t>поточ.рем.мережі електроп.ж/б пр.Центральний,138</t>
  </si>
  <si>
    <t>поточ.рем.сист.водопостач.ж/б вул.Колодязна,5-а</t>
  </si>
  <si>
    <t xml:space="preserve">ТОВ "ПИК-МОНТАЖ" </t>
  </si>
  <si>
    <t>пот.рем.сист.водоп.та водовід.ж/б по вул.6 Слобід.,7а</t>
  </si>
  <si>
    <t xml:space="preserve">ТОВ "МОНАРХ СТРОЙ"  </t>
  </si>
  <si>
    <t>пот.рем.мережі електропост.ж/б,вул.Театральна,47-А</t>
  </si>
  <si>
    <t>ТОВ "ДОМ СЕРВИС-НК"</t>
  </si>
  <si>
    <t>пот.рем.сист.каналіз.ж/б, вул.Артилерійська,1</t>
  </si>
  <si>
    <t>пот.рем.сист.каналіз.ж.б.по в.Вел.Морська,буд.65</t>
  </si>
  <si>
    <t>ТОВ "Вектор-Л"</t>
  </si>
  <si>
    <t>пот.рем.вн.буд.ел.мер.ж/б,в.Водопровідна,15</t>
  </si>
  <si>
    <t>пот.рем.мер.електроп.ж/б за адр.в.Микол.,17а</t>
  </si>
  <si>
    <t>пот.рем.вн.буд.ел.мер.ж/б, в.6Слобідська,46</t>
  </si>
  <si>
    <t>ТОВ "ЄВРО-КЛІН"</t>
  </si>
  <si>
    <t>пот.рем.сист.водоп.і водов.в ж/б по пр.Героїв Укр.13А</t>
  </si>
  <si>
    <t>пот.рем.сист.водоп.і водов.в ж/б,в.Вінграновського,45</t>
  </si>
  <si>
    <t>пот.рем.сист.водоп.і водов.в житл.буд.по пр.Героїв Укр.13А</t>
  </si>
  <si>
    <t>ТОВ ".Кассіопея."</t>
  </si>
  <si>
    <t>пот.рем.сист.водоп.та водов. ж/б, в.О.Ольжича,3-Г</t>
  </si>
  <si>
    <t>СП"Альтус-Про"</t>
  </si>
  <si>
    <t>пот.рем.ж/б ОСББ"Білий дім"вул.Декабристів,38/2</t>
  </si>
  <si>
    <t>пот.рем.фасаду житл.буд..вул.Шевченка,64А</t>
  </si>
  <si>
    <t>пот.рем.димовенткан.житл.б.за адр.:в.Буз.бульвар,9</t>
  </si>
  <si>
    <t>ПП "Будремком"</t>
  </si>
  <si>
    <t>пот.рем.сист.кан.та хол.водоп.ж/б,вул.Бердника,26</t>
  </si>
  <si>
    <t>пот.рем.сист.водов.та хол.водоп.ж/б по в.Казар.,5б</t>
  </si>
  <si>
    <t>пот.рем.сис.водоп.та канал.ж/б,в. Адміральська,2/5</t>
  </si>
  <si>
    <t xml:space="preserve">КП"МИКОЛАЇВЛIФТ" </t>
  </si>
  <si>
    <t>поточ.рем.ліфта у жит.буд.по в.Г.Гонгадзе,30(п.3)</t>
  </si>
  <si>
    <t>поточ.рем.ліфта у жит.буд.по вул.Озерна,13А(п.3)</t>
  </si>
  <si>
    <t>пот.рем.ліфта у жит.буд.по в.Океанівська,64 (п.3)</t>
  </si>
  <si>
    <t>поточ.рем.ліфта у жит.буд.по вул.Озерна,21 (п.2)</t>
  </si>
  <si>
    <t>пот.рем.ліфта у жит.буд.по вул.Лазурна,10Б (п.1)</t>
  </si>
  <si>
    <t>пот.рем.ліфта у жит.буд.по в.Колодязна,35-А (п.3)</t>
  </si>
  <si>
    <t>поточ.рем.ліфта у жит.буд.по вул.Садова,15 (п.1)</t>
  </si>
  <si>
    <t>поточ.рем.ліфта у жит.буд.по вул.Озерна,35 (п.3)</t>
  </si>
  <si>
    <t>пот.рем.ліфта у ж.б.,вул.Потьомкінська,141(п.2)</t>
  </si>
  <si>
    <t>пот.рем.ліфта у ж.б.,вул.Потьомкінська,131-Б(лів.)</t>
  </si>
  <si>
    <t>пот.рем.ліфта у ж.б.,вул.Лазурна,4-Б(п.1)</t>
  </si>
  <si>
    <t>пот.рем.ліфта у ж.б.по вул. Лазурна, 18-Б (п.3)</t>
  </si>
  <si>
    <t>пот.рем.ліфта у ж.б.,вул.Лазурна,16 (п.2)</t>
  </si>
  <si>
    <t>пот.рем.ліфта у ж.б.,пр.Богоявленський, 316(п.4)</t>
  </si>
  <si>
    <t>пот.рем.ліфта у ж.б.пр.Богоявленський,327/2(п.2)</t>
  </si>
  <si>
    <t>пот.рем.ліфта у жит.буд.по в.Генер.Карп.,77 (п.1)</t>
  </si>
  <si>
    <t>пот.рем.ліфта у жит.буд.по пр.Богоявл.,316 (п.1)</t>
  </si>
  <si>
    <t>пот.рем.ліфта у жит.буд.по вул.Озерна,1А (п.2)</t>
  </si>
  <si>
    <t>пот.рем.ліфта у жит.буд.по пр.Центр.,177А(груз)</t>
  </si>
  <si>
    <t>пот.рем.ліфта у жит.буд.по вул.Лазурна,10В (п.4)</t>
  </si>
  <si>
    <t>пот.рем.ліфта у жит.буд.по вул.Лазурна,4А (п.4)</t>
  </si>
  <si>
    <t>пот.рем.ліфта у жит.буд.по пр.Централ.,171(п.4)</t>
  </si>
  <si>
    <t>пот.рем.ліфта у жит.буд.по вул.Океанів.,32А(п.3)</t>
  </si>
  <si>
    <t>пот.рем.ліфта у жит.буд.по вул.Декабрис.,25 (п.2)</t>
  </si>
  <si>
    <t>пот.рем.ліфта у жит.буд.по пр.Богояв.,327/2(п.1)</t>
  </si>
  <si>
    <t>пот.рем.ліфта у жит.буд.по пр.Богояв.,327/2(п.5)</t>
  </si>
  <si>
    <t>пот.рем.ліфта у ж.б.по пр.Богоявленський,316 (п.5)</t>
  </si>
  <si>
    <t>пот.рем.ліфта у ж.б.по вул. Новобудівна, 3 (п.1)</t>
  </si>
  <si>
    <t>пот.рем.ліфта у ж.б.по вул.Потьомкінська,143-А(п.1)</t>
  </si>
  <si>
    <t>пот.рем.ліфта у жит.буд.по вул.Погранична, 22 (п.2)</t>
  </si>
  <si>
    <t>КНВП Тріботехніка</t>
  </si>
  <si>
    <t>пот.рем.сх.кл.із зам.вік.у ж/б,в.Потьом.,17</t>
  </si>
  <si>
    <t>пот.рем.сх.кл.із зам.вік.у ж/б,в.Потьомкінська,17а</t>
  </si>
  <si>
    <t>пот.рем.сх.кліт.із зам.вік.у ж/б,в.В.Морська, 2</t>
  </si>
  <si>
    <t>пот.рем.сход.кліт.із .зам.вік.в ж/б по в.В.Мор.,1</t>
  </si>
  <si>
    <t>ЖКП ММР Бриз</t>
  </si>
  <si>
    <t>пот.рем.мер.водоп.в ж.буд.,вул.Заводська,21/1</t>
  </si>
  <si>
    <t>пот.рем.мережі електропост.в ж/б,вул.Озерна,17-А</t>
  </si>
  <si>
    <t>пот.рем.мережі електропост. ж/б,вул.Крилова, 50-А</t>
  </si>
  <si>
    <t>пот.рем.мережі електропост.ж/б,вул.Крилова,50</t>
  </si>
  <si>
    <t>пот.рем.мер.електроп.ж/б,в.Завод.,1/1</t>
  </si>
  <si>
    <t>пот.рем.мер.електроп.ж/б,в.Завод.,1/2</t>
  </si>
  <si>
    <t>поточ.рем.м'якої покр.ж/б,в.Крилова,4</t>
  </si>
  <si>
    <t>пот.рем.м'як.покр.ж/б,вул.Шосейна,15</t>
  </si>
  <si>
    <t>пот.рем.мер.електропост. ж/б,вул.Лазурна,10-Б</t>
  </si>
  <si>
    <t xml:space="preserve">пот.рем.мер.електропост. ж/б,вул.Озерна,3-А </t>
  </si>
  <si>
    <t>Дератизація житлового фонду</t>
  </si>
  <si>
    <t>Технагляд</t>
  </si>
  <si>
    <t xml:space="preserve">ФОП Скарлат С.О. </t>
  </si>
  <si>
    <t>поточ.рем.покрівлі житл.буд,вул.Адм.Макарова,8 м.Мик.</t>
  </si>
  <si>
    <t xml:space="preserve">ФОП Седнєва І.В. </t>
  </si>
  <si>
    <t>пот.рем.покр.ж/б,вул.Курортна,12-А м.Мик.</t>
  </si>
  <si>
    <t>пот.рем.покр. ж/б, вул.Курортна,12-А м.Мик.</t>
  </si>
  <si>
    <t xml:space="preserve">ФОП Медянцев В.В.          </t>
  </si>
  <si>
    <t>пот.рем.сист.хол.водоп.і водовід.в жит.буд.по в.Лазурна,42 м.Мик.</t>
  </si>
  <si>
    <t>пот.рем.сист.опал. в ж.б.,вул.Арх.Старова,10-Б в м.Мик</t>
  </si>
  <si>
    <t xml:space="preserve">ФОП Жуковский В.Є. </t>
  </si>
  <si>
    <t>пот.рем.сх.кліт.із зам.вік.в ж/б,пр. Центральний,10 м.Мик.</t>
  </si>
  <si>
    <t>пот.рем.сх.кліт.із зам.вік.в ж/б,пр.Центральний,6-А м.Мик.</t>
  </si>
  <si>
    <t>пот.рем.сх.кл.із зам.вік.в ж/б,в.Олійника,3Ам.Мик.</t>
  </si>
  <si>
    <t>пот.рем.сх.кл.із зам.вік.в1,3,5,7п. ж/б,пр.Центральний,9 м.Мик.</t>
  </si>
  <si>
    <t>пот.рем.сх. кліт. із зам.вік.в ж/б,вул.Олійника,1 м.Мик.</t>
  </si>
  <si>
    <t>пот.рем.сх.сход. кліт.із зам. вік.в1п. ж/б,в.Олійника,3 м.Мик.</t>
  </si>
  <si>
    <t>пот.рем.ж/б,вул.Г.Петрової,1 м.Мик.</t>
  </si>
  <si>
    <t>пот.рем.ж/б,вул.О.Григор'єва, 6-А м.Мик.</t>
  </si>
  <si>
    <t>пот.рем.в ж/б,вул.2-а Поперечна,32 в м.Мик.</t>
  </si>
  <si>
    <t>пот.рем.в ж/б,вул.Г.Петрової,5 в м.Мик.</t>
  </si>
  <si>
    <t>пот.рем.сис.водоп.та водов.ж/б,.пр. Героїв України, 18 м.Мик.</t>
  </si>
  <si>
    <t xml:space="preserve">ФОП Бобров О. М. </t>
  </si>
  <si>
    <t>пот.рем.пандусу жтил.буд. по вул.Архітек.Старова,4є,1 під.в м.Микол.</t>
  </si>
  <si>
    <t>пот.рем.пандусу жтил.буд. по вул.Архітек.Старова,6а,2 під.в м.Микол.</t>
  </si>
  <si>
    <t>пот.рем.сис.водоп.та вік.укос.в ж/б по в.Арх.Старова,6 в м.Микол.</t>
  </si>
  <si>
    <t>пот.рем.сист.водопост.в  ж/б,вул.Казарського,5 м.Мик.</t>
  </si>
  <si>
    <t xml:space="preserve">ТОВ"ЦЕНТРЛІФТ" </t>
  </si>
  <si>
    <t>пот.рем.ліфта в ж/б,пр.Богоявленський,28 (п.1) м.Мик.</t>
  </si>
  <si>
    <t>пот.рем.ліфта  в ж/б,вул. Миколаївська, 34-Б м.Мик.</t>
  </si>
  <si>
    <t>пот.рем.ліфта  в ж/б,вул.Першотравнева, 109 (3п.) м.Мик.</t>
  </si>
  <si>
    <t>пот.рем.ліфта  в ж/б,вул.Будівельників,18-В (2п.) м.Мик.</t>
  </si>
  <si>
    <t>пот.рем.ліфта  в ж/б,вул.Казарського,5-А м.Мик.</t>
  </si>
  <si>
    <t>пот.рем.ліфта  в ж/б,вул.Шептицького,22/1(3п.) м.Мик.</t>
  </si>
  <si>
    <t>пот.рем.ліфта  в ж/б,вул.Шептицького, 22/1(2п.) м.Мик.</t>
  </si>
  <si>
    <t>пот.рем.ліфта в ж/б, вул. Казарського, 3-А (п.2) м.Мик.</t>
  </si>
  <si>
    <t>пот.рем.ліфта в ж/б, вул. Космонавтів, 152(п.2) м.Мик.</t>
  </si>
  <si>
    <t xml:space="preserve"> пот.рем.ліфта в ж/б,вул.Океанівська,40-Б(п.1) м.Мик.</t>
  </si>
  <si>
    <t>пот.рем.ліфта в ж/б,вул.12 Поздовжня, 44-А(п.2) м.Мик.</t>
  </si>
  <si>
    <t>пот.рем.ліфта в ж/б,вул.12 Поздовжня,3 (п.2)в м.Мик.</t>
  </si>
  <si>
    <t>пот.рем.ліфта в ж/б,пр.Героїв України, 13-Г(п.3) м.Мик.</t>
  </si>
  <si>
    <t xml:space="preserve"> пот.рем.ліфта в ж/б,пров.Першотравневий,63 (п.2) м.Мик.</t>
  </si>
  <si>
    <t>пот.рем.ліфта в ж/б,вул.Вокзальна,49 (п.3) м.Мик.</t>
  </si>
  <si>
    <t>пот.рем.ліфта в ж/б,вул.Айвазовського,11Б (п.2) м.Мик.</t>
  </si>
  <si>
    <t xml:space="preserve"> пот.рем.ліфта в ж/б,пр.Героїв України, 79-А(п.3) в м.Мик.</t>
  </si>
  <si>
    <t>пот.рем.ліфта в ж/б, пр.Г.України,87А(п.2)  в м.Мик.</t>
  </si>
  <si>
    <t>пот.рем.ліфта в ж/б, пр.Г.України,107(п.1) в м.Мик.</t>
  </si>
  <si>
    <t>пот.рем.ліфта в ж/б, вул.Ізмалкова,7(п.2) в м.Мик.</t>
  </si>
  <si>
    <t xml:space="preserve"> пот.рем.ліфта в ж/б, вул.Космонавтів,104-А(п.1) в м.Мик.</t>
  </si>
  <si>
    <t xml:space="preserve">ТОВ"БУД-КОН" </t>
  </si>
  <si>
    <t>поточ.рем.внутріш.елек.мереж житл.буд.по пров.Кобера,13А м.Микол.</t>
  </si>
  <si>
    <t>пот.рем.мер.ел.пост.гурт.,в. Ходченка,58а в м.Мик.</t>
  </si>
  <si>
    <t xml:space="preserve"> пот.рем.покр.ж.б.,вул.Корабелів,22 м.Мик.</t>
  </si>
  <si>
    <t>пот.рем.покр.,вул.Чайковського,6 м.Мик.</t>
  </si>
  <si>
    <t>пот.рем.покр.,вул.Терасна,1-А м.Мик.</t>
  </si>
  <si>
    <t>ТОВ Центральний 1 </t>
  </si>
  <si>
    <t>пот.рем.сист.хол.водоп..ж/б,в. Севастопольська,68 в м.Мик.</t>
  </si>
  <si>
    <t xml:space="preserve">ТОВ ЖЕК" Забота"  </t>
  </si>
  <si>
    <t>пот.рем.сис.хол.водоп.та сис.водов.ж/б,в.Чкалова,122 в м.Мик</t>
  </si>
  <si>
    <t>пот.рем.с.хол.водоп.та с.водов.ж/б,вул.Потьомкінська,143Ам.Мик.</t>
  </si>
  <si>
    <t>ТОВ "Укр.-буд.-комп." </t>
  </si>
  <si>
    <t>пот.рем.покр. ж/б, вул.Кузнецька,130/13 м.Мик.</t>
  </si>
  <si>
    <t>пот.рем.м'якої покр. ж/б, вул.  Океанівська, 32-А м.Мик.</t>
  </si>
  <si>
    <t xml:space="preserve"> пот.рем.м'якої покр. ж/б, вул.  Океанівська, 46 м.Мик.</t>
  </si>
  <si>
    <t>пот.рем.м'якої покр. ж/б, вул. Потьомкінська, 131-Б м.Мик.</t>
  </si>
  <si>
    <t xml:space="preserve">ТОВ "Стеклосоюз" </t>
  </si>
  <si>
    <t>пот.рем.сх.кл.із зам.вік.в житл.б.по в.Каз.,3-а 2 і 3 під.м.Мик.</t>
  </si>
  <si>
    <t>пот.рем.сист.хол.вод.та канал.ж.б.по пр.Цент.,160 в м.Мик.</t>
  </si>
  <si>
    <t>пот.рем.вн.буд.ел.мер.ж/б,в.6Слобідська,46Ам.Мик.</t>
  </si>
  <si>
    <t xml:space="preserve">ТОВ "Адрем-ком" </t>
  </si>
  <si>
    <t>пот.рем.під.з уст.вх.двер.та вік.сх.кл.у ж/б в.Погран.,131А м.Мик.</t>
  </si>
  <si>
    <t>пот.рем.під.з уст.вх.двер.та вік.сх.кл.у ж.буд.пр.Богояв.,49А м.Мик.</t>
  </si>
  <si>
    <t>пот.рем.під.з уст.вікон сх.кліт.у ж.буд.по вул.Нікольськ,8/5 м.Мик.</t>
  </si>
  <si>
    <t xml:space="preserve">ТОВ "Євроліфт"   </t>
  </si>
  <si>
    <t>пот.рем.ліфта в жит.буд.по в.3-а Слобід.,51б(п.2) в м.Микол.</t>
  </si>
  <si>
    <t>пот.рем.ліфта в жит.буд.по вул.Чкалова,106(п.3) в м.Микол.</t>
  </si>
  <si>
    <t>пот.рем.ліфта в жит.буд.по в.3-а Слобід.,51(п.3) в м.Микол.</t>
  </si>
  <si>
    <t>пот.рем.ліфта в жит.буд.по в.3-а Слобід.,51/б(п.3) в м.Микол.</t>
  </si>
  <si>
    <t>пот.рем.сист.водоп.житл.буд.по вул.О.Ольжича,5-А м.Микол.</t>
  </si>
  <si>
    <t>пот.рем.сист.водопост. ж/б,вул.Чкалова,78 в м.Мик</t>
  </si>
  <si>
    <t>пот.рем.під.із зам.вікон ж/б,вул.О.Ольжича,5-Б в м.Мик.</t>
  </si>
  <si>
    <t xml:space="preserve">СП"Альтус-Про" </t>
  </si>
  <si>
    <t>пот.рем.димовенткан.та фас.ж/б, в.Нікольська,49 м.Мик.</t>
  </si>
  <si>
    <t>пот.рем.балконів ж/б,вул.Спаська, 52 м.Мик.</t>
  </si>
  <si>
    <t>пот.рем.димовенткан.ж/б, Бузький бульвар,11 в м.Мик.</t>
  </si>
  <si>
    <t xml:space="preserve">ПП СЦ "Южная карта" </t>
  </si>
  <si>
    <t xml:space="preserve"> пот.рем.сист.водопос. ж/б ОСББ"Крилова54",вул.Крилова, 54 м.Мик.</t>
  </si>
  <si>
    <t xml:space="preserve">ПП "Будремком" </t>
  </si>
  <si>
    <t>пот.рем.сист.опал. ж/б,вул. Будівельників, 14 м.Мик.</t>
  </si>
  <si>
    <t>пот.рем.сист.опал. ж/б,вул. Будівельників,14 м.Мик.</t>
  </si>
  <si>
    <t>пот.рем.сист.канал. ж/б,пр.Центральний,267 в м.Мик.</t>
  </si>
  <si>
    <t>пот.рем.сист.водоп.ж.б.в ж/б, в.Адміральська,2/6 в м.Мик.</t>
  </si>
  <si>
    <t>ОКП"Миколаївоблтеплоенерго"</t>
  </si>
  <si>
    <t>пот.рем.сис.опал.ж.б.,вул.Даля,1 в м.Мик.</t>
  </si>
  <si>
    <t>КП"МИКОЛАЇВЛIФТ"</t>
  </si>
  <si>
    <t>пот.рем.ліфта у житл.буд.по вул.Лазурна,40(п.2) м.Микол.</t>
  </si>
  <si>
    <t>пот.рем.ліфта у житл.буд.по вул.Новобудів.,1(п.3) у м.Микол.</t>
  </si>
  <si>
    <t>пот.рем.ліфта у житл.буд.по пр.Богоявл.325/1(п.4) у м.Микол.</t>
  </si>
  <si>
    <t>пот.рем.ліфта у житл.буд.по вул.Океанівс.52(п.1) у м.Микол.</t>
  </si>
  <si>
    <t>пот.рем.ліфта у житл.буд.по вул.Рибна 1/2(п.1) у м.Микол.</t>
  </si>
  <si>
    <t>пот.рем.ліфта  в ж/б,вул.Колодязна,20 (п.2) м.Мик.</t>
  </si>
  <si>
    <t>пот.рем.ліфта в ж/б, вул.Озерна,13 (п.3) м.Мик.</t>
  </si>
  <si>
    <t>пот.рем.ліфта в ж/б, вул.3Слобідська,26(п.2) м.Мик</t>
  </si>
  <si>
    <t>пот.рем.ліфта в ж/б, вул.Озерна,25 (п.3) м.Мик.</t>
  </si>
  <si>
    <t>пот.рем.ліфта в ж/б,вул.Айвазовського,6 (п.1) м.Мик.</t>
  </si>
  <si>
    <t>пот.рем.ліфта в ж/б,вул.Айвазовського,7(п.1) (лів.)м.Мик.</t>
  </si>
  <si>
    <t>пот.рем.ліфта в ж/б, вул.Лазурна,18 (п.1)  м.Мик.</t>
  </si>
  <si>
    <t>пот.рем.ліфта в ж/б,вул.Лазурна,28(п.4) м.Мик.</t>
  </si>
  <si>
    <t>пот.рем.ліфта в ж/б,в.Айвазовського,7 (п.1)(прав.)  м.Мик.</t>
  </si>
  <si>
    <t>пот.рем.ліфта в ж/б, вул.Океанівська,54(п.4) м.Мик.</t>
  </si>
  <si>
    <t>пот.рем.ліфта в ж/б,вул.Озерна, 35(п.2) м.Мик.</t>
  </si>
  <si>
    <t>пот.рем.ліфта в ж/б, вул.Погранична,69 м.Мик.</t>
  </si>
  <si>
    <t>пот.рем.ліфта в ж/б,вул.Океанівська,32 (п.4)м.Мик.</t>
  </si>
  <si>
    <t>пот.рем.ліфта в ж/б,вул.Океанівська,58А(п.2) м.Мик.</t>
  </si>
  <si>
    <t>пот.рем.ліфта в ж/б, пр.Центральний,184 (лів.) м.Мик.</t>
  </si>
  <si>
    <t>пот.рем.ліфта в ж/б, пр.Корабелів,4 (п.4) м.Мик.</t>
  </si>
  <si>
    <t>пот.рем.ліфта в ж/б, вул.Океанівська,64 (п.1) м.Мик.</t>
  </si>
  <si>
    <t xml:space="preserve"> пот.рем.ліфта в ж/б,вул.Защука,25 (п.2) м.Мик.</t>
  </si>
  <si>
    <t>пот.рем.ліфта в ж/б,вул.Лазурна,10А (п.1) в м.Мик.</t>
  </si>
  <si>
    <t xml:space="preserve">КНВП Тріботехніка             </t>
  </si>
  <si>
    <t xml:space="preserve">пот.рем.сх.кліт.із зам.вік.в ж/б,пр.Центр.,11 </t>
  </si>
  <si>
    <t>пот.рем.сх.кліт.із зам.вік.у ж/б,пр. Кораб.,18а м.Мик.</t>
  </si>
  <si>
    <t>пот.рем.сх.кл.із зам.вік.у ж/б,в.Театрал,2-А м.Мик.</t>
  </si>
  <si>
    <t xml:space="preserve">ЖКП ММР Бриз      </t>
  </si>
  <si>
    <t>пот.р.м'як.пок.ж/б по в.Океан.,40-Б м.Микол.</t>
  </si>
  <si>
    <t>пот.рем.м'як.покр.ж.б.,пр.Центральний, 141-Б м.Мик</t>
  </si>
  <si>
    <t xml:space="preserve">ПП "Будремком"                </t>
  </si>
  <si>
    <t>пот.рем.хол.водоп.ж.б.,пр.Гер.України,103 в м. Мик.</t>
  </si>
  <si>
    <t xml:space="preserve">   ТОВ "Трансбудвантаж"          </t>
  </si>
  <si>
    <t>пот.рем.хол.водоп. ж/б,вул. Фалеєвська,17в м. Мик.</t>
  </si>
  <si>
    <t xml:space="preserve">ТОВ Центральний 1             </t>
  </si>
  <si>
    <t>пот.рем.сист.хол.водоп..ж.б., вул.Колодязна,10 в м.Мик.</t>
  </si>
  <si>
    <t>пот.рем.ліфта в ж/б,пр.Центральний,187(п.1) в м.Мик.</t>
  </si>
  <si>
    <t>пот.рем.ліфта в ж/б,пр.Центральний,141Б (п.2) в м.Мик.</t>
  </si>
  <si>
    <t>пот.рем.ліфта в ж/б,пр.Богоявленський,334(п.1) в м.Мик.</t>
  </si>
  <si>
    <t>пот.рем.ліфта в ж/б,вул.Шнеєрсона,4 (п.2) в м.Мик.</t>
  </si>
  <si>
    <t>пот.рем.ліфта в ж/б,вул.Чкалова,82А(п.2) в м.Мик.</t>
  </si>
  <si>
    <t>пот.рем.ліфта в ж/б,вул.Чкалова,82(п.1) в м.Мик.</t>
  </si>
  <si>
    <t>пот.рем.ліфта в ж/б,вул.Соборна,9 (пас)в м.Мик.</t>
  </si>
  <si>
    <t>пот.рем.ліфта в ж/б,вул.Севастопол.,65 (п.1) в м.Мик.</t>
  </si>
  <si>
    <t>пот.рем.ліфта в ж/б,вул.Рибна,1/2(п.6) в м.Мик.</t>
  </si>
  <si>
    <t>пот.рем.ліфта в ж/б,вул.Потьомкінська,141(п.4) в м.Мик.</t>
  </si>
  <si>
    <t>пот.рем.ліфта в ж/б,вул.Погранична,20 (п.1) в м.Мик.</t>
  </si>
  <si>
    <t>пот.рем.ліфта в ж/б,вул.Океанівська,60(п.1) в м.Мик.</t>
  </si>
  <si>
    <t>пот.рем.ліфта в ж/б,вул.Океанівська,30 (п.1) в м.Мик.</t>
  </si>
  <si>
    <t>пот.рем.ліфта в ж/б,вул.Озерна,2 (п.1) в м.Мик.</t>
  </si>
  <si>
    <t>пот.рем.ліфта в ж/б,вул.Лазурна,4В(п.1) в м.Мик.</t>
  </si>
  <si>
    <t>пот.рем.ліфта в ж/б,вул.Лазурна,30 (п.2) в м.Мик.</t>
  </si>
  <si>
    <t>пот.рем.ліфта в ж/б,вул.Курортна,5 (п.2) в м.Мик.</t>
  </si>
  <si>
    <t>пот.рем.ліфта в ж/б,вул.Крилова,50А (п.2)  в м.Мик.</t>
  </si>
  <si>
    <t>пот.рем.ліфта в ж/б,вул.Крилова,38Б(п.2) в м.Мик.</t>
  </si>
  <si>
    <t>пот.рем.ліфта в ж/б,вул.Колодязна,5А (п.2) в м.Мик.</t>
  </si>
  <si>
    <t>пот.рем.ліфта в ж/б,вул.Колодязна,13 (п.2) в м.Мик.</t>
  </si>
  <si>
    <t>пот.рем.ліфта в ж/б,вул.В.Морська,6А в м.Мик.</t>
  </si>
  <si>
    <t>пот.рем.ліфта в ж/б,вул.6 Слобідська, 11(п.1) в м.Мик.</t>
  </si>
  <si>
    <t>пот.рем.ліфта в ж/б,вул. Металургів,8 (п.3) в м.Мик.</t>
  </si>
  <si>
    <t>пот.рем.ліфта в ж/б,вул. 6 Слобідська,7А (п.2) в м.Мик.</t>
  </si>
  <si>
    <t>пот.рем.ліфта в ж/б,вул. 6 Слобідська, 7(п.1) в м.Мик.</t>
  </si>
  <si>
    <t>пот.рем.ліфта в ж/б, вул.Озерна,11 (п.7) в м.Мик.</t>
  </si>
  <si>
    <t>пот.рем.ліфта в ж/б, вул.Київська,2 в м.Мик.</t>
  </si>
  <si>
    <t>пот.рем.ліф.ЛП-320Р в ж/б,пр.Корабелів,18а(п.4)в м.Мик.</t>
  </si>
  <si>
    <t>пот.рем.ліф.ЛП-320Р в ж/б,вул.Крилова,50(п.3) в м.Мик.</t>
  </si>
  <si>
    <t>пот.рем.ліф.ЛП-320Р в ж/б,вул.6 Слоб.,47(п.2) в м.Мик.</t>
  </si>
  <si>
    <t>пот.рем.ліф.ЛП-320Р в ж/б,в.Потьомкінс.,155(п.1) в м.Мик.</t>
  </si>
  <si>
    <t>ЕЛУ автодорог</t>
  </si>
  <si>
    <t>Послуги з прибирання та підмвтання вулиць(зимове утримання вулично-шляхової мережі м.Миколаєва).</t>
  </si>
  <si>
    <t>Послуги з ремонту і технічного обслуговування електричного і механічного устаткування будівель (Послуги з ремонту і технічного обслуговування електричного і механічного устаткування штучних споруд)</t>
  </si>
  <si>
    <t>Лісозаготівельні послуги ( Надання послуг з викорчовування пнів в м.Миколаєві)</t>
  </si>
  <si>
    <t>Послуги з ремонту, технічного обслуговування дорожньої інфраструктури і пов'язаного обладнання ту супутні послуги (Поточний ремонт тротуару )</t>
  </si>
  <si>
    <t>пр.Героїв України</t>
  </si>
  <si>
    <t>Послуги з технічного огляду та випробувань ( надання послуг з утримання штучних споруд )</t>
  </si>
  <si>
    <t>Південнобузький міст, Інгульський міст, Аляудська переправа, причал на Каботажном молу</t>
  </si>
  <si>
    <t xml:space="preserve">Поточний ремонт мереж зливової каналізації </t>
  </si>
  <si>
    <t>Послуги з викорчовування пнів</t>
  </si>
  <si>
    <t>Поточний ремонт огорожі шляхопроводу ( після ДТП )</t>
  </si>
  <si>
    <t>Мікрорайон Широка балка</t>
  </si>
  <si>
    <t>пр.  Центральний ріг вул.Громадянська</t>
  </si>
  <si>
    <t>Послугиз обслуговування наземних видів транспорту (Послуги з чергування робітників при зимовому утриманні вулично-шляхової мережі)</t>
  </si>
  <si>
    <t>Послуги з прибирання снігу(Послуги з прибирання снігу з доріг в м.Миколаєві).</t>
  </si>
  <si>
    <t>Послуги з прибирання льоду(Послуги з прибирання наледі з доріг в м.Миколаєві).</t>
  </si>
  <si>
    <t>Послуги з прибирання та підмітання вулиць (послуги з зимового утримання вулично-шляхової мережі м.Миколаєва)</t>
  </si>
  <si>
    <t>Послуги з технічного огляду та випробувань(утримання штучних споруд).</t>
  </si>
  <si>
    <t>Послуги з ремонту, технічного обслуговування дорожньої інфраструктури і пов'язаного обладнання ту супутні послуги (Поточний ремонт )</t>
  </si>
  <si>
    <t>Аляудська переправа</t>
  </si>
  <si>
    <t>Виконані роботи з поточного ремонту мереж зливової каналізації</t>
  </si>
  <si>
    <t>ТОВ "Торговий Дім Кип і Ко"</t>
  </si>
  <si>
    <t>Випарена сіль і чистий хлорид натрію ( сіль технічна)</t>
  </si>
  <si>
    <t>ТОВ "ЕКОТОПТРАНС"</t>
  </si>
  <si>
    <t>Поточний ремонт тротуару</t>
  </si>
  <si>
    <t>Вул.Шосейна від проспекту Центральний до вул.Нікольська (парна сторона)</t>
  </si>
  <si>
    <t>Вул.Соборна від вул.Адмірала Макарова до проспекту Центральний (парний бік)</t>
  </si>
  <si>
    <t>ТОВ "Благоустрій-НК"</t>
  </si>
  <si>
    <t>Проспект Центральний</t>
  </si>
  <si>
    <t>Вул.Молодогвардійська від вул.Чайковського ло проспекту Богоявленського (непарна сорона)</t>
  </si>
  <si>
    <t>Послуги з ремонту, технічного обслуговування дорожньої інфраструктури і пов'язаного обладнання ту супутні послуги (Поточний ремонт тротуару по вул.Адмірала Макарова ріг вул.Рюміна )</t>
  </si>
  <si>
    <t>Тротуар по вул.Адмірала Макарова</t>
  </si>
  <si>
    <t>КП ММР "Миколаївські парки"</t>
  </si>
  <si>
    <t xml:space="preserve">Послуги з озеленення територій та утримання зелених насаджень (санітарне очищення, обрізка, знесення дерев, викошування газонів та длгляд за зеленими насадженнями) </t>
  </si>
  <si>
    <t>Парк "Перемога" з пляжем "Стрілка", сквер "Єкатериненський", пам'ятний знак "Темвод", коло "Тернівське</t>
  </si>
  <si>
    <t>Послуги з озеленення територій та утримання зелених насаджень( догляд за об'єктом благоустрію: Флотський узвіз з фонтаном та питним фонтанчиком "Лев"</t>
  </si>
  <si>
    <t>Флотський узвіз з фонтаном та питним фонтанчиком "Лев"</t>
  </si>
  <si>
    <t>ТОВ "Фаворіт-Люкс"</t>
  </si>
  <si>
    <t>Покрівельні роботи та інші спеціалізовані будівельні роботи ( Поточний ремонт огорожі цвинтаря по вул.Зенітників в м.Миколаєві)</t>
  </si>
  <si>
    <t>Цвинтар по вул.Зенітників</t>
  </si>
  <si>
    <t>КП ММР "Миколаївська ритуальна служба</t>
  </si>
  <si>
    <t>Поховальні та супутні послуги (догляд за кладовищами).</t>
  </si>
  <si>
    <t>Міське кладовище, Нове Корабельне кладовище, кладовище в мкр.Нова Матвіївка</t>
  </si>
  <si>
    <t>Центральне міське кладовище, Нове Корабельне кладовище</t>
  </si>
  <si>
    <t>Центральне міське кладовище, Нове Корабельне кладовище, Нове Матвіївське кладовище</t>
  </si>
  <si>
    <t>КСМЕП </t>
  </si>
  <si>
    <t>Послуги з ремонту, технічного обслуговування дорожньої інфраструктури і пов'язаного обладнання та супутні послуги ( утримання технічних засобів регулювання дорожнім рухом в м.Миколаєві).</t>
  </si>
  <si>
    <t>ТОВ "Вектор-Гранд"</t>
  </si>
  <si>
    <t>Послуги у сфері ландшафтної архітектури ( Послуги з поточного ремонту об'єкту благоустрою розташованого на території Флотського бульвару в м.Миколаєві)</t>
  </si>
  <si>
    <t>Флотський бульвар</t>
  </si>
  <si>
    <t>ПАТ "МИКОЛАЇВГАЗ" </t>
  </si>
  <si>
    <t>Оплата за розподіл природного газу.</t>
  </si>
  <si>
    <t>ТОВ "МИКОЛАЇВГАЗ ЗБУТ"</t>
  </si>
  <si>
    <t>Оплата за газ природний для потреб ДЖКГ ММР.</t>
  </si>
  <si>
    <t>ТОВ "Миколаївська електропоста</t>
  </si>
  <si>
    <t>Оплата за активну електренергію.</t>
  </si>
  <si>
    <t>ТОВ "УКРБІОРОСТ"</t>
  </si>
  <si>
    <t>Лісозаготівельні послуги ( Послуги з валки дерев)</t>
  </si>
  <si>
    <t>ТОВ "Техно-дім груп" </t>
  </si>
  <si>
    <t xml:space="preserve">Послуги з прибирання тротуарів </t>
  </si>
  <si>
    <t>Південнобузькоий та Інгульський мости</t>
  </si>
  <si>
    <t>Послуги з озеленення територій та утримання зелених насаджень ( санітарне очищення, обрізка, знесення дерев, викошування газонів, догляд за зеленими насадженнями та багаторічними квітами на об'єктах благоустрою )</t>
  </si>
  <si>
    <t>Інгульський район</t>
  </si>
  <si>
    <t>Послуги з озеленення територій та утримання зелених насаджень ( санітарне очищення, обрізка, знесення дерев, викошування газонів, догляд за зеленими насадженнями та багаторічними квітами на об'єктах благоустрою)</t>
  </si>
  <si>
    <t>Послуги з озеленення територій та утримання зелених насаджень (догляд за об'єктом благоустрою)</t>
  </si>
  <si>
    <t>Сквер ім.Ю.І.Макарова</t>
  </si>
  <si>
    <t>Сквер "Каскадний"</t>
  </si>
  <si>
    <t xml:space="preserve">Сквер "Вербочка" з пляжем "Прибій" </t>
  </si>
  <si>
    <t>Заводський район</t>
  </si>
  <si>
    <t>ТОВ "Укрспецобладнання"</t>
  </si>
  <si>
    <t>Послуги з інспектування каналізаційних колекиорів і консультаційні послуги з питання очищення стічних вод в м.Миколаєві.</t>
  </si>
  <si>
    <t>ТОВ "Укртранссервіс-ГРУП"</t>
  </si>
  <si>
    <t>Послуги за постачання природного газу.</t>
  </si>
  <si>
    <t>Послуги замовлення  (бронювання ) потужності природного газу</t>
  </si>
  <si>
    <t>ТОВ Проектбудсервіс - Юг</t>
  </si>
  <si>
    <t>Послуги з озеленення територій та утримання зелених насаджень ( санітарне очищення, коронування, обрізка, знесення дерев, викошування газонів та догляд за зеленими насадженнями на об'єктах благоустрою )</t>
  </si>
  <si>
    <t>Корабельний район</t>
  </si>
  <si>
    <t>Послуги з озеленення територій та утримання зелених насаджень (догляд за об'єктом благоустрою:сквер "Вербочка" з пляжем "Прибій")</t>
  </si>
  <si>
    <t>Сквер "Вербочка" з пляжем "Прибій"</t>
  </si>
  <si>
    <t>Послуги з озеленення територій та утримання зелених насаджень ( санітарне очищення, коронування, обрізка, знесення дерев, викошування газонів та догляд за зеленими насадженнями на об'єктах благоустрою)</t>
  </si>
  <si>
    <t>Центральний район</t>
  </si>
  <si>
    <t>ТОВ "Арника-ЮГ"</t>
  </si>
  <si>
    <t>Послуги з озеленення територій та утримання зелених насаджень ( санітарне очищення, викошування газонів, догляд за зеленими насадженнями та багаторічними квітами на об'єктах благоустрою )</t>
  </si>
  <si>
    <t>Послуги з поточного ремонту плиткового покриття, розташованого на території парку-пам'ятки садово-паркового мистецтва "Флотський бульвар"(Нижня Набережна)</t>
  </si>
  <si>
    <t>Послуги з озеленення територій та утримання зелених насаджень ( санітарне очищення, викошування газонів, догляд за зеленими насадженнями та багаторічними квітами на об'єктах благоустрою)</t>
  </si>
  <si>
    <t>Послуги з поточного ремонту об'єкту благоустрою розташованого на розі вул.Нікольська та вул.Адміральська в м.Миколаєві</t>
  </si>
  <si>
    <t>ТОВ"МИКОЛАЇВЗЕЛЕНГОСП"</t>
  </si>
  <si>
    <t>Послуги з озеленення територій та утримання зелених насаджень ( санітарне очищення, санітарна та омолоджувальна обрізка дерев, знесення дерев, викошування газонів та догляд за зеленими насадженнями на об'єктах благоустрою)</t>
  </si>
  <si>
    <t>Послуги з озеленення територій та утримання зелених насаджень ( санітарне очищення, обрізк, знесення дерев, викошування газонів, догляд за зеленими насадженнями та багаторічними квітами на об'єктах благоустрою)</t>
  </si>
  <si>
    <t>Послуги з озеленення територій та утримання зелених насаджень ( санітарне очищення, викошування газонів, догляд за зеленими насадженнями по бульварній частині пр.Центральний ( від вул.Карпенко до пр.Богоявленського ) та зелена зона пр.Богоявленський ( від пр.Центральний до шляхопроводу)</t>
  </si>
  <si>
    <t>Бульварні частини пр.Центральний</t>
  </si>
  <si>
    <t>Послуги з озеленення територій та утримання зелених насаджень ( санітарне очищення, викошування газонів, догляд за зеленими насадженнями нв бульварних частинах: вул.Чкалова, вул.Погранична та зелена зона по вул.Кузнецької)</t>
  </si>
  <si>
    <t>Бульварні частини: вул.Чкалова, вул.Погранична, вул.Кузнецька</t>
  </si>
  <si>
    <t>Послуги з озеленення територій та утримання зелених насаджень ( санітарне очищення, обрізка, знесення дерев, викошування газонів, догляд за зеленими насадженнями та багаторічними квітами на об'єктах благоустрою розташованих на бульварних частинах: вул.Погранична, вул.Чкалова, вул.Садова (від вул.Чкалова до вул.Кузнецької), зелена зона по вул.Садова-Погранична, коло по вул.Садова-Чкалова, коло по вул.Погранична-пр.Богоявленський )</t>
  </si>
  <si>
    <t>пр-т Центральний, сквери "Квітковий", "Захисників правопорядку", ім.Лягіна, "Трояндовий", "Екологіс", ім.Александрова, коло "пушкінське", Еліпс, коло"Садове", коло на 11 Слобідській</t>
  </si>
  <si>
    <t>м.Миколаїв</t>
  </si>
  <si>
    <t>Послуги з озеленення територій та утримання зелених насаджень ( санітарне очищення, обрізка, знесення дерев, викошування газонів, догляд за зеленими насадженнями та багаторічними квітами на об'єктах благоустрою пр.Центральний  та скверів: "Квітковий", "Захисників правопорядку", ім.Лягіна, "Трояндовий", "Екологіс", ім.Александрова, коло "пушкінське", Еліпс, коло"Садове", коло на 11 Слобідській)</t>
  </si>
  <si>
    <t>Бульварні частини: вул.Погранична, вул.Чкалова, вул.Садова,вул.Кузнецька</t>
  </si>
  <si>
    <t>Площа Соборна</t>
  </si>
  <si>
    <t>Сквер біля ОДА</t>
  </si>
  <si>
    <t>Послуги з озеленення територій та утримання зелених насаджень (догляд за об'єктом благоустрою:сквер ім.68 десантників з пам'ятником та меморіалом)</t>
  </si>
  <si>
    <t>Сквер ім. 68 десантників</t>
  </si>
  <si>
    <t>Сквер ім. Пушкіна</t>
  </si>
  <si>
    <t>Сквер Аркасівський</t>
  </si>
  <si>
    <t>Послуги з озеленення територій та утримання зелених насаджень (догляд за об'єктом благоустрою:сквер "Каскадний" з фонтаном розташованиий в м.Миколаєві)</t>
  </si>
  <si>
    <t>Послуги з озеленення територій та утримання зелених насаджень ( придбання, посадка та за квітниками розташованими на об'єктах благоустрою закріплених за ДЖКГ ММР)</t>
  </si>
  <si>
    <t xml:space="preserve"> Об'єкти благоустрою закріплених за ДЖКГ ММР</t>
  </si>
  <si>
    <t>ТОВ "ОЛДІ"</t>
  </si>
  <si>
    <t>Послуги з поточного ремонту об'єкту благоустрою розташованого на розі вул.Садова та вул Чкалова</t>
  </si>
  <si>
    <t>Об'єкту благоустрою вул.Садова-Чкалова</t>
  </si>
  <si>
    <t>Технагляд </t>
  </si>
  <si>
    <t>Відрахування на утримання відділу технагляду за послуги.</t>
  </si>
  <si>
    <t>Управління поліції охорони в Миколаївській області</t>
  </si>
  <si>
    <t>Послуги з охорони Південнобузького мосту.</t>
  </si>
  <si>
    <t xml:space="preserve"> Південнобузький  міст</t>
  </si>
  <si>
    <t>Послуги з охорони Інгульського мосту.</t>
  </si>
  <si>
    <t xml:space="preserve"> Інгульський міст</t>
  </si>
  <si>
    <t>ФОП Бутук І. М.</t>
  </si>
  <si>
    <t>Послуги з озеленення територій та утримання зелених насаджень (догляд за об'єктом благоустрою:сквер "Каштановий" з пам'ятником та фонтаном)</t>
  </si>
  <si>
    <t>Сквер "Каштановий"</t>
  </si>
  <si>
    <t>Послуги з озеленення територій та утримання зелених насаджень (догляд за об'єктом благоустрою:сквер ім.Чорновола з фонтаном та вазами)</t>
  </si>
  <si>
    <t xml:space="preserve">Сквер ім.Чорновола </t>
  </si>
  <si>
    <t>Послуги з озеленення територій та утримання зелених насаджень (догляд за об'єктом благоустрою:сквер Ради Європи з фонтанами, водопроводами та квітниками)</t>
  </si>
  <si>
    <t>Сквер Ради Європи</t>
  </si>
  <si>
    <t>Послуги з озеленення територій та утримання зелених насаджень (догляд за об'єктом благоустрою:сквер ім.Ю.І.Макарова  з фонтаном та квітниками, розташованиий в м.Миколаєві)</t>
  </si>
  <si>
    <t>Послуги з озеленення територій та утримання зелених насаджень (придбання, посадка та догляд за квітами в термочашах на об'єктах благоустрою закріплених за департаментом ЖКГ ММР)</t>
  </si>
  <si>
    <t>ФОП Панасюк П.Г.</t>
  </si>
  <si>
    <t>Утримання сміттєзвалищ ( Надання послуг з утримання звалища опалого листя в глиняному кар'єрі, розташованому біля міського цвинтаря поблизу с.Мішково-Погорілове)</t>
  </si>
  <si>
    <t>Міський цвинтар</t>
  </si>
  <si>
    <t>с.Мішково-Погорілове</t>
  </si>
  <si>
    <t xml:space="preserve">Будівництво трубопроводів, ліній зв'язку та електропередач, шосе, доріг, аеродромів і залізничних доріг; вирівнювання поверхонь (Поточний ремонт покриття проїздів та пішохідних доріжок на міському кладовищі (біля селища Мішково-Погорілове) </t>
  </si>
  <si>
    <t>Міське кладовище</t>
  </si>
  <si>
    <t>Будівництво трубопроводів, ліній зв'язку та електропередач, шосе, доріг, аеродромів і залізничних доріг; вирівнювання поверхонь ( Поточний ремонт покриття проїздів та пішохідних доріжок )</t>
  </si>
  <si>
    <t>Нове кладовище в мкр.Матвіївка</t>
  </si>
  <si>
    <t>мкр.Матвіївка</t>
  </si>
  <si>
    <t>Руйнування та знесення бцдівель і земляні роботи ( Вибірка непридатного грунту )</t>
  </si>
  <si>
    <t>Знесення об'єктів по вул.Чкалова</t>
  </si>
  <si>
    <t>Послуги у сфері ландшафтної архітектури ( Надання послуг з поточного ремонту колокольні)</t>
  </si>
  <si>
    <t>Колокольня "Алея слави" парк "Перемоги"</t>
  </si>
  <si>
    <t>ПП "БФ "Миколаївавтодор"</t>
  </si>
  <si>
    <t>Будівництво трубопроводів, ліній зв'язку та електропередач, шосе, доріг, аеродромів і залізничних доріг; вирівнювання поверхонь ( Поточний ремонт покриття проїздів та пішохідних доріжок на старому Корабельному кладовищі в м.Миколаєві)</t>
  </si>
  <si>
    <t>Проїзди та пішохідні доріжки на старому Корабельному кладовищі</t>
  </si>
  <si>
    <t>Будівництво трубопроводів, ліній зв'язку та електропередач, шосе, доріг, аеродромів і залізничних доріг; вирівнювання поверхонь ( Поточний ремонт покриття проїздів та пішохідних доріжок на новому Корабельному кладовищі в м.Миколаєві)</t>
  </si>
  <si>
    <t>Проїзди та пішохідні доріжки на новому Корабельному кладовищі</t>
  </si>
  <si>
    <t>ФОП Яковенко А.Ю.</t>
  </si>
  <si>
    <t>Поточний ремонт бульварної частини</t>
  </si>
  <si>
    <t>Вул.Погранична</t>
  </si>
  <si>
    <t>ФОП Курляк О.В.</t>
  </si>
  <si>
    <t>Поточний ремонт плиткового покриття бульварної частини</t>
  </si>
  <si>
    <t>Проспект Центральний на перехресті з вул.Соборною</t>
  </si>
  <si>
    <t>Поточний (дрібний) ремонт тротуару</t>
  </si>
  <si>
    <t>Вул.6 Слобідська поблизу будинку №11</t>
  </si>
  <si>
    <t>Вул.Нікольська</t>
  </si>
  <si>
    <t>Вул.Потьомкінська</t>
  </si>
  <si>
    <t>ФОП Дейнеко І.В</t>
  </si>
  <si>
    <t xml:space="preserve">Руйнування та знесення будівель і земляні роботи ( Поточний ремонт меморіального комплексу </t>
  </si>
  <si>
    <t>Меморіальний комплекс воїнам-визволителям ВВв на братській могилі загибоим-воїнам на Староруському цвинтарі</t>
  </si>
  <si>
    <t>Послуги з ремонту, технічного обслуговування дорожньої інфраструктури і пов'язаного обладнання та супутні послуги ( Поточний ремонт покриттятехнічної суги вздовж проїзної частини по вул.Севастопольськавід вул.Садова до вул.1 Слобідська в м.Миколаєві</t>
  </si>
  <si>
    <t>Технічна суга вздовж проїзної частини по вул.Севастопольска</t>
  </si>
  <si>
    <t>Послуги з ремонту, технічного обслуговування дорожньої інфраструктури і пов'язаного обладнання та супутні послуги ( Поточний ремонт тротуару по вул.Московська від вул.Чкалова до вул.Дунаєва (непарний бік) в м.Миколаєві</t>
  </si>
  <si>
    <t>Тротуар по вул.Московська</t>
  </si>
  <si>
    <t xml:space="preserve">Поточний ремонт тротуару </t>
  </si>
  <si>
    <t>Вул.Адміральська ріг вул.Соборна</t>
  </si>
  <si>
    <t>Вул.1 Слобідська біля будинку №2</t>
  </si>
  <si>
    <t>Вул.Обсерваторна від вул.Адмірала Макарова до вул.Шевченка (непарний бік)</t>
  </si>
  <si>
    <t>Вул.Будівельників ріг проспекту Миру</t>
  </si>
  <si>
    <t>Послуги у сфері ландшафтної архітектури ( Послуги з поточного ремонту фонтанів у сквері по вул.Садовій (бульварна частина) від вул.Нікольської до вул.Потьомкінської)</t>
  </si>
  <si>
    <t>Сквер "Радт Європи"</t>
  </si>
  <si>
    <t>ФОП Аніщеко С.В.</t>
  </si>
  <si>
    <t>Сквер ім.68 Десантників, сквер біля будівлі облдержадміністрації,розташованих в Центральному районі</t>
  </si>
  <si>
    <t>Департамент житлово-комунального господарства Миколаївської міської ради</t>
  </si>
  <si>
    <t>Фоп Вінець І.М.</t>
  </si>
  <si>
    <t>Поточний ремонт  легкоатлетичного манежу  бігових доріжок</t>
  </si>
  <si>
    <t>КУ Центральний міський стадіон</t>
  </si>
  <si>
    <t>м. Миколаїв, вул. Спортивна 1/1</t>
  </si>
  <si>
    <t>ФОП Копісов О.В.</t>
  </si>
  <si>
    <t>Поточний ремонт  легкоатлетичного манежу  покраска даху</t>
  </si>
  <si>
    <t>ТОВ "Ночной Дозор"</t>
  </si>
  <si>
    <t>ПКД "Поточний ремонт :монтаж і налагодження автономної сигналізації  в   Управлінні у справах фізичної культури та спорту ММР, вул.Потьомкінська ,95 а, м. Миколаїв"</t>
  </si>
  <si>
    <t>Централізована бухгалтерія</t>
  </si>
  <si>
    <t>вул.Потьомкінська ,95 а, м. Миколаїв</t>
  </si>
  <si>
    <t>"Поточний ремонт :монтаж і налагодження автономної сигналізації  в   Управлінні у справах фізичної культури та спорту ММР, вул.Потьомкінська ,95 а, м. Миколаїв"</t>
  </si>
  <si>
    <t>"Поточний ремонт :монтаж і налагодження автономної сигналізації на гаражах в   Управлінні у справах фізичної культури та спорту ММР, вул.Потьомкінська ,95 а, м. Миколаїв"</t>
  </si>
  <si>
    <t>ПП "Спецстройтехмонтаж"</t>
  </si>
  <si>
    <t>"Поточний ремонт 2 -х гаражів та санвузла в   Управлінні у справах фізичної культури та спорту ММР, вул.Потьомкінська ,95 а, м. Миколаїв"</t>
  </si>
  <si>
    <t>ПКД " монтаж автономної пожежної сигналізації в приміщеннях ДЮСШ5, м.Миколаїв,вул.Приозерна,2.</t>
  </si>
  <si>
    <t>ДЮСШ5</t>
  </si>
  <si>
    <t>м.Миколаїв,вул.Приозерна,2.</t>
  </si>
  <si>
    <t>ФОП Жуковський В.Є.</t>
  </si>
  <si>
    <t>Поточний ремонт з заміною металопластикових вікон ДЮСШ №5 розташованого за адресою пр.Богоявленський, 253 А/1 у м. Миколаєві.</t>
  </si>
  <si>
    <t>ДЮСШ 5</t>
  </si>
  <si>
    <t>пр.Богоявленський, 253 А/1 у м. Миколаєві.</t>
  </si>
  <si>
    <t>ТОВ Фірма "Контур -Контакт"</t>
  </si>
  <si>
    <t>Поточний ремонт кабельної лінії в ДЮСШ №5 розташованого за адресою пр.Богоявленський, 253 А/1 у м. Миколаєві.</t>
  </si>
  <si>
    <t>ПП " Спецстройтехмонтаж"</t>
  </si>
  <si>
    <t>Поточний ремонт покрівлі зимового майданчика ДЮСШ №5 розташованого за адресою пр.Богоявленський, 253 А/1 у м. Миколаєві.</t>
  </si>
  <si>
    <t>монтаж автономної пожежної сигналізації в приміщеннях ДЮСШ5, м.Миколаїв,вул.Приозерна,2.</t>
  </si>
  <si>
    <t>вул.Приозерна2 у м. Миколаєві.</t>
  </si>
  <si>
    <t>ТОВ "Фірма "РЕМТЕХ"</t>
  </si>
  <si>
    <t>Поточний ремонтводопроводу та каналізаціїї ДЮСШ №5 розташованого за адресою вул.Приозерна2 у м. Миколаєві.</t>
  </si>
  <si>
    <t>ТОВ "Медтехсервіс"</t>
  </si>
  <si>
    <t>Електровимірювання пристроїв , що заземлюються СДЮСШОР 4, м.Миколаїв,вул.Герерала Карапенка,40А.</t>
  </si>
  <si>
    <t>СДЮСШОР 4</t>
  </si>
  <si>
    <t>м.Миколаїв,вул.Генерала Карапенка,40А.</t>
  </si>
  <si>
    <t>ТОВ "ПИК - МОНТАЖ"</t>
  </si>
  <si>
    <t>"Поточний ремонт приміщень гаражів в ДЮСШ 3, м.Миколаїв, Погранична,45.</t>
  </si>
  <si>
    <t>ДЮСШ 3</t>
  </si>
  <si>
    <t>м.Миколаїв, вул.Погранична,45.</t>
  </si>
  <si>
    <t>"Поточний ремонт огорожі в ДЮСШ 3, м.Миколаїв, Погранична,45.</t>
  </si>
  <si>
    <t>ФОП Могуренко В.В.</t>
  </si>
  <si>
    <t>"Поточний ремонт з установки системи відооспостереженняв ДЮСШ 3, м.Миколаїв.</t>
  </si>
  <si>
    <t>м.Миколаїв, вул. Погранична,45.</t>
  </si>
  <si>
    <t>ТОВ АКВАСЕРВІС ГРУП"</t>
  </si>
  <si>
    <t>"Поточний ремонта системи каналізаціїи ФОК  в  КДЮСШ "Олімп", м.Миколаїв,вулНовобудівна 1-Б.</t>
  </si>
  <si>
    <t>КДЮСШ "Олімп"</t>
  </si>
  <si>
    <t>м.Миколаїв, вул. Новобудівна 1-Б.</t>
  </si>
  <si>
    <t>ТОВ " Вулкан-Н"</t>
  </si>
  <si>
    <t>"Поточний ремонт теплового вузла та системи вентиляції спортивної зали ФОК  в  КДЮСШ "Олімп", м.Миколаїв,вулНовобудівна 1-Б.</t>
  </si>
  <si>
    <t>"Поточний ремонт теплового вузла та системи вентиляції спортивної зали ФОК  в  КДЮСШ "Олімп", м.Миколаїв,пр.Корабелів,1-В.</t>
  </si>
  <si>
    <t>м.Миколаїв, пр.Корабелів,1/1.</t>
  </si>
  <si>
    <t>ТОВ "Будівельна компанія "Контакт-Жилбуд"</t>
  </si>
  <si>
    <t>"Поточний ремонт системи відеоспостереження в ФОК  в  КДЮСШ "Олімп", м.Миколаїв,пр.Корабелів,1/1.</t>
  </si>
  <si>
    <t>ТОВ "ЛК-БУДСЕРВІС"</t>
  </si>
  <si>
    <t>"Поточний ремонт приміщень ( тренажерний зал, жіноча та чоловіча роздягальні) КДЮСШ "Олімп", м.Миколаїв,вул.Новобудівна, 1Б.</t>
  </si>
  <si>
    <t>м.Миколаїв, вул.Новобудівна, 1Б.</t>
  </si>
  <si>
    <t>"Поточний ремонт приміщень  КДЮСШ "Олімп", м.Миколаїв,вул.Новобудівна, 1Б.</t>
  </si>
  <si>
    <t xml:space="preserve"> "Поточний ремонт: монтаж автономної пожежної сигналізації в приміщеннях будівлі  КДЮСШ "Олімп"(Яхт - клуб), м.Миколаїв,вул. Новобудівнав,1-б.</t>
  </si>
  <si>
    <t>м.Миколаїв, вул. Новобудівнав,1-б.</t>
  </si>
  <si>
    <t>ПКД "Поточний ремонт: монтаж автономної пожежної сигналізації в приміщеннях будівлі  КДЮСШ "Олімп"(Яхт - клуб), м.Миколаїв,вул. Новобудівнав,1-б.</t>
  </si>
  <si>
    <t>Поточний ремонт: монтаж і налагодження автономної   сигналізації в приміщеннях КДЮСШ "Олімп", м.Миколаїв,пр.Богоявленський,325,327</t>
  </si>
  <si>
    <t>м.Миколаїв, пр.Богоявленський,325,327</t>
  </si>
  <si>
    <t>ФОП Нікора А.В.</t>
  </si>
  <si>
    <t>Поточний ремонтвстановлення відеоспостереженняв  КДЮСШ "Комунарівець", м.Миколаїв,пр.Героїв України,2/4.</t>
  </si>
  <si>
    <t>КДЮСШ "Комунарівець"</t>
  </si>
  <si>
    <t xml:space="preserve"> м.Миколаїв, пр.Героїв України, 2/4.</t>
  </si>
  <si>
    <t>ФОП Бучко О.М.</t>
  </si>
  <si>
    <t>Поточний ремонт вуличного туалету в  КДЮСШ "Комунарівець", м.Миколаїв,пр.Героїв України,2/4.</t>
  </si>
  <si>
    <t>Поточний ремонт бейсбольного майданчика в  дитячо- юнацької спортивної школи "Комунарівець", м.Миколаїв,пр.Героїв України,2/4.</t>
  </si>
  <si>
    <t>ТОВ СЦ Нікоінтерм"</t>
  </si>
  <si>
    <t>"Поточний ремонт електрообладнання і автоматики газової котельні  СДЮСШОР з фехтування, м.Миколаїв, пр.Героїв України 4.</t>
  </si>
  <si>
    <t>СДЮСШОР з фехтування</t>
  </si>
  <si>
    <t xml:space="preserve"> м.Миколаїв, пр.Героїв України 4.</t>
  </si>
  <si>
    <t>"Поточний ремонт холлу СДЮСШОР з фехтування, м.Миколаїв, вул. Пушкінська,11.</t>
  </si>
  <si>
    <t>м.Миколаїв, вул. Пушкінська,11.</t>
  </si>
  <si>
    <t>ТОВ " Ночной Дозор"</t>
  </si>
  <si>
    <t>"Поточний ремонт: монтаж автономної пожежної сигналізації в приміщеннях будівлі СДЮШОР з велоспорту, м.Миколаїв,вул.Гмирьова 7.</t>
  </si>
  <si>
    <t>СДЮСШОР з велоспорту</t>
  </si>
  <si>
    <t xml:space="preserve"> м.Миколаїв, вул.Гмирьова 7.</t>
  </si>
  <si>
    <t>ПКД "Поточний ремонт: монтаж автономної пожежної сигналізації в приміщеннях будівлі СДЮШОР з велоспорту, м.Миколаїв,вул.Гмирьова 7.</t>
  </si>
  <si>
    <t>"Поточний ремонт: монтаж автономної пожежної сигналізації в приміщеннях будівлі СДЮШОР з велоспорту, м.Миколаїв,вул.Бузника ,2-А.</t>
  </si>
  <si>
    <t>м.Миколаїв, вул.Бузника ,2-А.</t>
  </si>
  <si>
    <t>"Поточний ремонт: монтаж автономної пожежної сигналізації в приміщеннях будівлі СДЮШОР з велоспорту, м.Миколаїв,вул.Бузника ,4-А.</t>
  </si>
  <si>
    <t>м.Миколаїв, вул.Бузника ,4-А.</t>
  </si>
  <si>
    <t>ПКД "Поточний ремонт: монтаж автономної пожежної сигналізації в приміщеннях будівлі СДЮШОР з велоспорту, м.Миколаїв,вул.Бузника ,2-А.</t>
  </si>
  <si>
    <t>ПКД "Поточний ремонт: монтаж автономної пожежної сигналізації в приміщеннях будівлі СДЮШОР з велоспорту, м.Миколаїв,вул.Бузника ,4-А.</t>
  </si>
  <si>
    <t>Управління у справах фізичної культури і спорту ММР</t>
  </si>
  <si>
    <t>ТОВ "Інжиніринг-Груп"</t>
  </si>
  <si>
    <t xml:space="preserve">вимощення плиткою частини внутрішнього двору Миколаївського міського палацу культури "Корабельний" </t>
  </si>
  <si>
    <t>Поточний ремонт вимощення плиткою частини внутрішнього двору Миколаївського міського палацу культури "Корабельний" за адресою: пр.Богоявленський, 328, м.Миколаїв</t>
  </si>
  <si>
    <t xml:space="preserve"> м. Миколаїв, пр. Богоявленський, 328</t>
  </si>
  <si>
    <t>Управління з питань культури та охорони культурної спадщини ММР</t>
  </si>
  <si>
    <t>ФОП Борзов С.Є.</t>
  </si>
  <si>
    <t>35,519</t>
  </si>
  <si>
    <t xml:space="preserve">Улаштування підвісної стелі та монтаж світильників в приміщеннях УСВіК Корабельного р-ну </t>
  </si>
  <si>
    <t>Поточний ремонт в приміщенні УСВіК Корабельного р-ну ДПСЗН ММР</t>
  </si>
  <si>
    <t>м.Миколаїв, вул. Новобудівна, 1/1</t>
  </si>
  <si>
    <t>Департамент праці та соціального захисту населення Миколаївської міської ради</t>
  </si>
  <si>
    <t>ПП "Віконце"</t>
  </si>
  <si>
    <t xml:space="preserve">Поточний ремонт </t>
  </si>
  <si>
    <t>Проведення поточного ремонту приміщень міської лікарні №5 із заміною вікон та дверей на металопластикові</t>
  </si>
  <si>
    <t>м. Миколаїв, просп. Богоявленський, 336</t>
  </si>
  <si>
    <t>КНВП "Тріботехніка"</t>
  </si>
  <si>
    <t>Проведення поточного ремонту приміщень міської лікарні №4 із заміною дверей на металопластикові</t>
  </si>
  <si>
    <t>м. Миколаїв, вул. Ад,Макарова,1</t>
  </si>
  <si>
    <t>Управління охорони здоров'я Миколаївської міської ради</t>
  </si>
  <si>
    <t>ФОП Кацала  В.О.</t>
  </si>
  <si>
    <t>поточний ремонт покрівлі</t>
  </si>
  <si>
    <t>Державний навчальний заклад "Миколаївське вище професійне училище технологій та дизайну"</t>
  </si>
  <si>
    <t>54030,м. Миколаїв, вул.Потьомкінська,37</t>
  </si>
  <si>
    <t>МКП "Миколаївводоканал"</t>
  </si>
  <si>
    <t>поточний ремонт зовнішнього водопроводу</t>
  </si>
  <si>
    <t>Миколаївський професійний ліцей будівництва та сфери послуг</t>
  </si>
  <si>
    <t>54052,м. Миколаїв, вул.Айвазовського,15Б</t>
  </si>
  <si>
    <t>ПП ТК " Южная карта"</t>
  </si>
  <si>
    <t>поточний ремонт та реконструкція водопроводної иережі</t>
  </si>
  <si>
    <t>Миколаївський професійний машинобудівний ліцей</t>
  </si>
  <si>
    <t>54044,м. Миколаїв вул Космонавтів 66</t>
  </si>
  <si>
    <t>ФОП  Матвіїва Ю.П.</t>
  </si>
  <si>
    <t>поточний ремонт приміщень</t>
  </si>
  <si>
    <t>Миколаївський економічний ліцей №2 Миколаївської міськой ради мiста Миколаєва</t>
  </si>
  <si>
    <t>54015,м. Миколаїв, вул. Робоча, 2</t>
  </si>
  <si>
    <t>ФОП Пісьмак Н.В.</t>
  </si>
  <si>
    <t>Поточний ремонт системи каналізації та водопостачання (заміна труб та кришок колодязів)</t>
  </si>
  <si>
    <t>Миколаївська спеціалізована школа І - ІІІ ступенів мистецтв і прикладних ремесел експериментальний навчальний заклад всеукраїнського рівня «Академія дитячої творчості» Миколаївської міської ради Миколаївської області</t>
  </si>
  <si>
    <t xml:space="preserve"> 54034 м. Миколаїв, вул.Олійника,36 </t>
  </si>
  <si>
    <t xml:space="preserve"> ФОП  Сідляр М.С.</t>
  </si>
  <si>
    <t>поточний ремонт маршового переходу</t>
  </si>
  <si>
    <t>Заклад дошкільної освіти № 117 м. Миколаєва</t>
  </si>
  <si>
    <t>54029                                      м.Миколаїв,                                вул.Шосейна,19</t>
  </si>
  <si>
    <t>ФОП Волошин</t>
  </si>
  <si>
    <t xml:space="preserve">поточний ремонт системи водовідведення  ЗДО № 101 в м.Миколаєві </t>
  </si>
  <si>
    <t>Заклад дошкільної освіти № 101"Дружба" м. Миколаєва</t>
  </si>
  <si>
    <t>54052                                           м.Миколаїв,                      пр.Корабелів,22</t>
  </si>
  <si>
    <t>ФОП Залітко В.В.</t>
  </si>
  <si>
    <t>поточний ремонт подвір'я ДНЗ № 83 в м. Миколаєві</t>
  </si>
  <si>
    <t>Дошкільний навчальний заклад № 83 "Казка"  м. Миколаєва</t>
  </si>
  <si>
    <t xml:space="preserve">54034                                        м.Миколаїв,             пр.Богоявленський 8-А </t>
  </si>
  <si>
    <t>ФОП Решетняк Є.В.</t>
  </si>
  <si>
    <t>поточний ремонт приміщень ДНЗ № 77 в м. Миколаєві</t>
  </si>
  <si>
    <t>Дошкільний навчальний заклад № 77 «Сонечко» м.Миколаєва</t>
  </si>
  <si>
    <t>54017 м.Миколаїв,вул.Громадянська , 48 Б</t>
  </si>
  <si>
    <t>ФОП Заклепний</t>
  </si>
  <si>
    <t>Поточний ремонт системи енергопостачання  ДНЗ № 77  в м.Миколаєві</t>
  </si>
  <si>
    <t xml:space="preserve"> ПП " Монолітбудсервіс"</t>
  </si>
  <si>
    <t>поточний ремонт приміщень ДНЗ № 148</t>
  </si>
  <si>
    <t>Дошкільний навчальний заклад № 148 м. Миколаєва</t>
  </si>
  <si>
    <t>54055                                     м.Миколаїв,                                вул.Чкалова, 80</t>
  </si>
  <si>
    <t>ФОП Шапотюк М.М.</t>
  </si>
  <si>
    <t xml:space="preserve">поточний ремонт  водопостачання </t>
  </si>
  <si>
    <t>Дошкільний навчальний заклад № 143 м. Миколаєва</t>
  </si>
  <si>
    <t>м.Миколаїв, вул. Озерна,5-В</t>
  </si>
  <si>
    <t xml:space="preserve"> ФОП Вербицький Д.С.</t>
  </si>
  <si>
    <t xml:space="preserve">поточний ремонт двору </t>
  </si>
  <si>
    <t>Дошкільний навчальний заклад № 140 м.Миколаєва</t>
  </si>
  <si>
    <t>54050                                     м.Миколаїв,                                вул.Глинки,7а</t>
  </si>
  <si>
    <t>ФОП Вербицький Д.С.</t>
  </si>
  <si>
    <t xml:space="preserve">поточний ремонт будівлі  ЗОШ№ 35 в м.Миколаєві </t>
  </si>
  <si>
    <t>Миколаївська
загальноосвітня школа І-ІІІ ступенів № 35
Миколаївської міської ради Миколаївської області</t>
  </si>
  <si>
    <t xml:space="preserve">54029,
м.Миколаїв,   вул. Морехідна,  10-а
</t>
  </si>
  <si>
    <t xml:space="preserve">поточний ремонт приміщень із заміною протипожежних дверей  гімназії №3 в м.Миколаєва </t>
  </si>
  <si>
    <t xml:space="preserve">Гімназія № 3
Миколаївської міської ради Миколаївської області
</t>
  </si>
  <si>
    <t xml:space="preserve">54052
м. Миколаїв
пр. Корабелів,12-Г
</t>
  </si>
  <si>
    <t>ПП "Монолітбудсервіс"</t>
  </si>
  <si>
    <t xml:space="preserve">поточний ремонт приміщень ЗОШ№ 29 в м.Миколаєві </t>
  </si>
  <si>
    <t>Миколаївська
загальноосвітня школа І-ІІІ ступенів № 29
Миколаївської міської ради Миколаївської області</t>
  </si>
  <si>
    <t xml:space="preserve">54050
м. Миколаїв 
вул. гетьмана Сагайдачного, 124
</t>
  </si>
  <si>
    <t>ФОП Печиборцев В.І.</t>
  </si>
  <si>
    <t xml:space="preserve">поточний ремонт фасаду ЗОШ№ 39 в м.Миколаєва </t>
  </si>
  <si>
    <t>Миколаївська
загальноосвітня школа І-ІІІ ступенів №39
Миколаївської міської ради Миколаївської області</t>
  </si>
  <si>
    <t xml:space="preserve">54030
м. Миколаїв 
вул. Нікольська, 6
</t>
  </si>
  <si>
    <t xml:space="preserve">поточний ремонт приміщень із заміною протипожежних дверей  ЗОШ№ 35 в м.Миколаєва </t>
  </si>
  <si>
    <t>ФОП Дробуш Є.В.</t>
  </si>
  <si>
    <t>поточний ремонт системи опалення  ЗОШ№60 в м.Миколаєва</t>
  </si>
  <si>
    <t>Миколаївська
загальноосвітня школа І-ІІІ ступенів № 60
Миколаївської міської ради Миколаївської області</t>
  </si>
  <si>
    <t xml:space="preserve">54036
м. Миколаїв
вул. Чорноморська, 1 а
</t>
  </si>
  <si>
    <t>поточний ремонт приміщення  ЗОШ№ 39 в м.Миколаєві</t>
  </si>
  <si>
    <t>поточний ремонт приміщення в ЗДО № 123 в м.Миколаєві</t>
  </si>
  <si>
    <t>Заклад дошкільної освіти № 123 "Синичка" м. Миколаєва</t>
  </si>
  <si>
    <t xml:space="preserve">54002
м. Миколаїв 
вул. Радісна, 4
</t>
  </si>
  <si>
    <t>МПБП "Карід"</t>
  </si>
  <si>
    <t>поточний ремонт системи опалення в ЗДО № 37 в м.Миколаєві</t>
  </si>
  <si>
    <t>Заклад дошкільної освіти № 37 "Казка" м. Миколаєва</t>
  </si>
  <si>
    <t xml:space="preserve">54056
м. Миколаїв 
вул. Театральна, 51 -А
</t>
  </si>
  <si>
    <t>ФОП Писаренко В.В.</t>
  </si>
  <si>
    <t xml:space="preserve">поточний ремонт приміщення централізованної бухгалтерії управління освіти </t>
  </si>
  <si>
    <t xml:space="preserve">54001
М. Миколапїв
вул.Мала Морьська,3
 </t>
  </si>
  <si>
    <t>ФОП Круліковський К.Я.</t>
  </si>
  <si>
    <t xml:space="preserve">поточний ремонт приміщення з заміною протипожежних дверей  Миколаївському юридичному ліцею в м.Миколаєві </t>
  </si>
  <si>
    <t xml:space="preserve">Миколаївський Юридичний ліцей
Миколаївської міської ради Миколаївської області
</t>
  </si>
  <si>
    <t>54056                                     м. Миколаїв                        пр.Миру, 23Г</t>
  </si>
  <si>
    <t>ТОВ "Безпека Сервіс Південь"</t>
  </si>
  <si>
    <t xml:space="preserve">поточний ремонт приміщення з облаштуванням протипожежних дверей ЗОШ№ 57 в м.Миколаєва </t>
  </si>
  <si>
    <t>Миколаївська
загальноосвітня школа І-ІІІ ступенів № 57
Миколаївської міської ради Миколаївської області</t>
  </si>
  <si>
    <t>54058                               м. Миколаїв                        вул. Лазурна,46</t>
  </si>
  <si>
    <t xml:space="preserve">поточний ремонт приміщення з облаштуванням протипожежних дверей ЗОШ№ 23  в м.Миколаєва </t>
  </si>
  <si>
    <t>Миколаївська
загальноосвітня школа І-ІІІ ступенів № 23
Миколаївської міської ради Миколаївської області</t>
  </si>
  <si>
    <t>57156                               м. Миколаїв                                   Велика Корениха                  вул.Гарнізонна, 10</t>
  </si>
  <si>
    <t xml:space="preserve">поточний ремонт приміщення з облаштуванням протипожежних дверей ЗОШ№ 7 в м.Миколаєва </t>
  </si>
  <si>
    <t>Миколаївська
загальноосвітня школа І-ІІІ ступенів № 7
Миколаївської міської ради Миколаївської області</t>
  </si>
  <si>
    <t>54001                                     м. Миколаїв                        вул. Потьомкінська, 45/47</t>
  </si>
  <si>
    <t xml:space="preserve">поточний ремонт приміщення з облаштуванням протипожежних дверей ЗОШ№ 61 в м.Миколаєва </t>
  </si>
  <si>
    <t>Миколаївська
загальноосвітня школа І-ІІІ ступенів № 61
Миколаївської міської ради Миколаївської області</t>
  </si>
  <si>
    <t>54036
м. Миколаїв
вул. Олександра Матросова, 2</t>
  </si>
  <si>
    <t>поточний ремонт приміщень із заміною дверей  ЗОШ№ 54 в  м.Миколаєва</t>
  </si>
  <si>
    <t>Миколаївська
загальноосвітня школа І-ІІІ ступенів № 54
Миколаївської міської ради Миколаївської області</t>
  </si>
  <si>
    <t>54052
м. Миколаїв
пр. Корабелів, 10</t>
  </si>
  <si>
    <t>поточний ремонт системи опалення  ЗОШ№17 в м.Миколаєва</t>
  </si>
  <si>
    <t>Миколаївська
загальноосвітня школа І-ІІІ ступенів № 17
Миколаївської міської ради Миколаївської області</t>
  </si>
  <si>
    <t>54038
м. Миколаїв, вул. Крилова, 12/6</t>
  </si>
  <si>
    <t xml:space="preserve">поточний ремонт приміщення з заміною протипожежних дверей  ЗОШ№44 в м.Миколаєві </t>
  </si>
  <si>
    <t>Миколаївська
загальноосвітня школа І-ІІІ ступенів № 44
Миколаївської міської ради Миколаївської області</t>
  </si>
  <si>
    <t>54037                               м. Миколаїв                        вул.Знаменгська, 2/6</t>
  </si>
  <si>
    <t xml:space="preserve">поточний ремонт приміщення з заміною протипожежних дверей  ЗОШ№ 47 в м.Миколаєві </t>
  </si>
  <si>
    <t>Миколаївська
загальноосвітня школа І-ІІІ ступенів № 47
Миколаївської міської ради Миколаївської області</t>
  </si>
  <si>
    <t xml:space="preserve">54050
м. Миколаїв
вул. Торгова,72
</t>
  </si>
  <si>
    <t>поточний ремонт системи опалення ЗОШ№ 48 в м.Миколаєва</t>
  </si>
  <si>
    <t>Миколаївська
загальноосвітня школа І-ІІІ ступенів № 48
Миколаївської міської ради Миколаївської області</t>
  </si>
  <si>
    <t>54052                                      м. Миколаїв                        вул.Генерала Попеля, 164</t>
  </si>
  <si>
    <t xml:space="preserve">поточний ремонт приміщення палацу творчості учнів в м.Миколаєва </t>
  </si>
  <si>
    <t>Палац творчості учнів</t>
  </si>
  <si>
    <t xml:space="preserve">54001
м. Миколаїв
вул. Адміральська, 31
</t>
  </si>
  <si>
    <t>поточний ремонт системи опалення в ЗДО № 65 в м.Миколаєві</t>
  </si>
  <si>
    <t>Дошкільний навчальний заклад № 65 «Малятко» м.Миколаєва</t>
  </si>
  <si>
    <t>54018                                м. Миколаїв                        вул. Чайковського, 24</t>
  </si>
  <si>
    <t>поточний ремонт системи опалення ЗДО №115 в м.Миколаєві</t>
  </si>
  <si>
    <t>Дошкільний навчальний заклад № 115 «Золоті зернятка» м.Миколаєва</t>
  </si>
  <si>
    <t>54030                                   м. Миколаїв                        вул. Нікольська, 19</t>
  </si>
  <si>
    <t>поточний ремонт приміщення з облаштуванням протипожежних дверей ДНЗ №20 м.Миколаєва за адресою: Миколаїв,вул. Корабелів,6 рах.0013 від 02.09.19 акт.1 від 02.09.19 КБ-3 від 02.09.19</t>
  </si>
  <si>
    <t xml:space="preserve">Дошкільний навчальний заклад № 20 «Юний чорноморець» м.Миколаєва
</t>
  </si>
  <si>
    <t xml:space="preserve">54017                                  м.Миколаїв  вул.Корабелів,6 </t>
  </si>
  <si>
    <t>ФОП Волошин О.Г.</t>
  </si>
  <si>
    <t>поточний ремонт системи опалення  ДНЗ № 110 в м. Миколаєві</t>
  </si>
  <si>
    <t>Заклад дошкільної освіти № 110  "Гніздечко"        м. Миколаєва</t>
  </si>
  <si>
    <t xml:space="preserve">54050
м. Миколаїв 
вул. Рибна, 4
</t>
  </si>
  <si>
    <t xml:space="preserve"> поточний ремонт приміщення ДНЗ № 82 в м.Миколаєві                                                         </t>
  </si>
  <si>
    <t>Заклад дошкільної освіти № 82  "Лебідь" м. Миколаєва</t>
  </si>
  <si>
    <t>54034                                                         м. Миколаїв,  пр.Богоявленський, 20-А</t>
  </si>
  <si>
    <t>поточний ремонт будівлі управління освіти ММР</t>
  </si>
  <si>
    <t>Група з централізованого господарського обслуговування</t>
  </si>
  <si>
    <t>54001 м. Миколаїв  вул. Інженерна, 3</t>
  </si>
  <si>
    <t>поточний ремонт приміщення з заміною металопластикових вікон управління освіти ММР</t>
  </si>
  <si>
    <t>поточний ремонт приміщення палацу творчості учнів в м.Миколаєва</t>
  </si>
  <si>
    <t>ФОП Малимон М.Ю.</t>
  </si>
  <si>
    <t>поточний ремонт приіщення з заміною металопластикових вікон ЗОШ № 56  в м.Миколаєві</t>
  </si>
  <si>
    <t>Миколаївська загальноосвітня школа І-ІІІ ступенів №56 Миколаївської міської ради Миколаївської області</t>
  </si>
  <si>
    <t>54031
м. Миколаїв,                                                          вул. Космонавтів, 138а</t>
  </si>
  <si>
    <t xml:space="preserve">поточний ремонт приміщень із заміною протипожежних дверей  Миколаївському економічному ліцеї №1 в м.Миколаєва </t>
  </si>
  <si>
    <t xml:space="preserve">Миколаївський Економічний ліцей № 1
Миколаївської міської ради Миколаївської області
</t>
  </si>
  <si>
    <t>54051
м. Миколаїв,                                                          вул. Океанівська, 9</t>
  </si>
  <si>
    <t xml:space="preserve">поточний ремонт приміщення із заміною дверей МЕЛ № 1 в  м.Миколаєва    </t>
  </si>
  <si>
    <t xml:space="preserve"> поточний ремонт гангу з облаштуванням пандусів  ЗОШ№ 53  в м.Миколаєві                                                   </t>
  </si>
  <si>
    <t>Миколаївська загальноосвітня школа І-ІІІ ступенів №53 Миколаївської міської ради Миколаївської області</t>
  </si>
  <si>
    <t>54003
м. Миколаїв,                                                          вул. Потьемкінська, 154</t>
  </si>
  <si>
    <t>ФОП Демяненко М.В.</t>
  </si>
  <si>
    <t xml:space="preserve"> поточний ремонт приміщення ЗОШ№ 57 в м.Миколаєві                               </t>
  </si>
  <si>
    <t>Миколаївська загальноосвітня школа І-ІІІ ступенів №57 Миколаївської міської ради Миколаївської області</t>
  </si>
  <si>
    <t>54058
м. Миколаїв,                                                          вул. Лазурна, 46</t>
  </si>
  <si>
    <t xml:space="preserve">поточний ремонт системи водовідведення  ЗОШ № 32 в м.Миколаїв </t>
  </si>
  <si>
    <t>Миколаївська загальноосвітня школа І-ІІІ ступенів №32 Миколаївської міської ради Миколаївської області</t>
  </si>
  <si>
    <t>54025
м. Миколаїв,                                                          вул. Оберегова, 1</t>
  </si>
  <si>
    <t xml:space="preserve">поточний ремонт приміщення  ЗОШ №21 в м.Миколаєва </t>
  </si>
  <si>
    <t>Миколаївська загальноосвітня школа І-ІІІ ступенів №21 Миколаївської міської ради Миколаївської області</t>
  </si>
  <si>
    <t>54023
м. Миколаїв,     М.Корениха                                                     вул. Молдавська, 7</t>
  </si>
  <si>
    <t xml:space="preserve">поточний ремонт системи водопостачання  гімназії№ 3 в м.Миколаїв </t>
  </si>
  <si>
    <t>Гімназія №3 Миколаївської міської ради Миколаївської області</t>
  </si>
  <si>
    <t>54052                                                         м. Миколаїв,  пр. Корабелів, 12-Г</t>
  </si>
  <si>
    <t xml:space="preserve">поточний ремонт будівлі  ЗОШ№26 в м.Миколаєві </t>
  </si>
  <si>
    <t>Миколаївська загальноосвітня школа І-ІІІ ступенів №26 Миколаївської міської ради Миколаївської області</t>
  </si>
  <si>
    <t>54034
м. Миколаїв,                                                          вул. Чайковського, 11а</t>
  </si>
  <si>
    <t xml:space="preserve">поточний ремонт харчоблоку  ЗОШ№ 44 в м.Миколаєві </t>
  </si>
  <si>
    <t>Миколаївська загальноосвітня школа І-ІІІ ступенів №44 Миколаївської міської ради Миколаївської області</t>
  </si>
  <si>
    <t>54037
м. Миколаїв,                                                          вул. Знаменьська, 2/6</t>
  </si>
  <si>
    <t xml:space="preserve">поточний ремонт приміщень у гімназії № 41 у м.Миколаєві </t>
  </si>
  <si>
    <t>Гімназія №41 Миколаївської міської ради Миколаївської області</t>
  </si>
  <si>
    <t>54018
м. Миколаїв,                                                          вул. Театральна, 41</t>
  </si>
  <si>
    <t>ТОВ "ТОПБУД ЛТД"</t>
  </si>
  <si>
    <t>поточний ремонт системи опалення ЗОШ№ 24 в м.Миколаєві</t>
  </si>
  <si>
    <t>Миколаївська загальноосвітня школа І-ІІІ ступенів №24 Миколаївської міської ради Миколаївської області</t>
  </si>
  <si>
    <t>54048
м. Миколаїв,                                                          вул. Лісова, 1</t>
  </si>
  <si>
    <t>ПП "Олкріс"</t>
  </si>
  <si>
    <t xml:space="preserve">поточний ремонт спортивного майданчику ЗОШ№ 42 в  м.Миколаєві </t>
  </si>
  <si>
    <t>Миколаївська загальноосвітня школа І-ІІІ ступенів №42 Миколаївської міської ради Миколаївської області</t>
  </si>
  <si>
    <t>54031
м. Миколаїв,                                                          вул. Електронна, 73</t>
  </si>
  <si>
    <t>поточний ремонт приміщення з заміною протипожежних дверей ЗОШ№ 21 в м.Миколаєві</t>
  </si>
  <si>
    <t xml:space="preserve">поточний ремонт приміщення з заміною протипожежних дверей  ЗОШ№27 в м.Миколаєві </t>
  </si>
  <si>
    <t>Миколаївська загальноосвітня школа І-ІІІ ступенів №27 Миколаївської міської ради Миколаївської області</t>
  </si>
  <si>
    <t>54037
м. Миколаїв,                                                          вул. Свободна, 38</t>
  </si>
  <si>
    <t>поточний ремонт приміщення з заміною протипожежних дверей МЗОШ №14 в м.Миколаєві</t>
  </si>
  <si>
    <t>Миколаївська загальноосвітня школа І-ІІІ ступенів №14 Миколаївської міської ради Миколаївської області</t>
  </si>
  <si>
    <t>поточний ремонт приміщення з заміною металопластикових вікон  ЗОШ№47 в м.Миколаєві</t>
  </si>
  <si>
    <t>Миколаївська загальноосвітня школа І-ІІІ ступенів №47 Миколаївської міської ради Миколаївської області</t>
  </si>
  <si>
    <t>54050
м. Миколаїв,                                                          вул. Торгова, 72</t>
  </si>
  <si>
    <t>ФОП Котков В.В.</t>
  </si>
  <si>
    <t xml:space="preserve">поточний ремонт приміщення  ЗОШ№13 в м.Миколаїві </t>
  </si>
  <si>
    <t>Миколаївська загальноосвітня школа І-ІІІ ступенів №13 Миколаївської міської ради Миколаївської області</t>
  </si>
  <si>
    <t>54017                                                         м. Миколаїв,  пр. Центральний, 84</t>
  </si>
  <si>
    <t xml:space="preserve">поточний ремонт приміщень  ДНЗ № 106 в м.Миколаєві                                      </t>
  </si>
  <si>
    <t>Заклад дошкільної освіти № 106  "Вишенька"             м. Миколаєва</t>
  </si>
  <si>
    <t>54050                                                         м. Миколаїв,  пр. Богоявленьський, 297</t>
  </si>
  <si>
    <t>ФОП Сергієнко О.В.</t>
  </si>
  <si>
    <t xml:space="preserve">поточний ремонт приміщень  ЗДО № 85 в м.Миколаєві                                  </t>
  </si>
  <si>
    <t>Заклад дошкільної освіти № 85  "Світлячок" м. Миколаєва</t>
  </si>
  <si>
    <t>54029                                                         м. Миколаїв,  вул.8- Березня, 22-б</t>
  </si>
  <si>
    <t xml:space="preserve">поточний ремонт приміщень ДНЗ №60 в м.Миколаєві </t>
  </si>
  <si>
    <t>Заклад дошкільної освіти № 60  "Горобинонька"        м. Миколаєва</t>
  </si>
  <si>
    <t xml:space="preserve">54018
м. Миколаїв 
вул.Театральна, 25/1
</t>
  </si>
  <si>
    <t>поточний ремонт двору  ДНЗ №50 в м.Миколаєві</t>
  </si>
  <si>
    <t>Заклад дошкільної освіти № 50  "Дельфін"м. Миколаєва</t>
  </si>
  <si>
    <t xml:space="preserve">54018
м. Миколаїв 
вул. Космонавтів, 56
</t>
  </si>
  <si>
    <t xml:space="preserve">поточний ремонт із заміною вікон  ДНЗ №95 в м.Миколаєві </t>
  </si>
  <si>
    <t>Заклад дошкільної освіти № 95  "Бджілка"м. Миколаєва</t>
  </si>
  <si>
    <t xml:space="preserve">54028
м. Миколаїв 
вул. Космонавтів, 67А
</t>
  </si>
  <si>
    <t xml:space="preserve">поточний ремонт приміщень  ДНЗ №138 в м.Миколаєві </t>
  </si>
  <si>
    <t>Заклад дошкільної освіти № 138  м. Миколаєва</t>
  </si>
  <si>
    <t xml:space="preserve">54052
м. Миколаїв 
вул. Г. Попеля, 79
</t>
  </si>
  <si>
    <t>ТОВ "СтройМирИндастриз"</t>
  </si>
  <si>
    <t>поточний ремонт приміщення ДНЗ №51 в м.Миколаєві</t>
  </si>
  <si>
    <t>Заклад дошкільної освіти № 51 "Супутник" м. Миколаєва</t>
  </si>
  <si>
    <t xml:space="preserve">54029                                 м. Миколаїв,  пр. Центральний, 26-В      </t>
  </si>
  <si>
    <t xml:space="preserve">поточний ремонт системи опалення ДНЗ № 133 в м.Миколаєві </t>
  </si>
  <si>
    <t>Заклад дошкільної освіти № 133 "Золота рибка" м. Миколаєва</t>
  </si>
  <si>
    <t>54050                                           м.Миколаїв,                      вул.Металургов, 30</t>
  </si>
  <si>
    <t>ТОВ "Інотех-Сервіс"</t>
  </si>
  <si>
    <t xml:space="preserve">поточний ремонт системи водопостачання  ДНЗ № 92 в м.Миколаєві </t>
  </si>
  <si>
    <t>Заклад дошкільної освіти № 92 "Світлячок" м. Миколаєва</t>
  </si>
  <si>
    <t>54036                                          м.Миколаїв,                      вул. Гастело, 14-А</t>
  </si>
  <si>
    <t>поточний ремонт покрівлі БДЮТ Заводського району</t>
  </si>
  <si>
    <t xml:space="preserve">Будинок творчості дітей та юнацтва Заводського району </t>
  </si>
  <si>
    <t xml:space="preserve">54002
м. Миколаїв
вул. Корабелів, 18
</t>
  </si>
  <si>
    <t>ТОВ "ЕЛЕКТРА"</t>
  </si>
  <si>
    <t>поточний ремонт системи енергопостачання  ВСШ№ 1 в м.Миколаєві</t>
  </si>
  <si>
    <t xml:space="preserve">Миколаївська
вечірня школа
№1
Миколаївської міської ради Миколаївської області
</t>
  </si>
  <si>
    <t xml:space="preserve">54050
м. Миколаїв, вул. Гетьмана Сагайдачного, 92
</t>
  </si>
  <si>
    <t xml:space="preserve">поточний ремонт приміщень  ЗОШ № 11 в м. Миколаєві </t>
  </si>
  <si>
    <t>Миколаївська
загальноосвітня школа І-ІІІ ступенів № 11
Миколаївської міської ради Миколаївської області</t>
  </si>
  <si>
    <t>54056                                                     м. Миколаїв,                        вул.Китобоїв,3</t>
  </si>
  <si>
    <t>ТОВ Інтехно</t>
  </si>
  <si>
    <t xml:space="preserve">поточний ремонт ігрової зони і роздягальні  ЗОШ № 19 в м. Миколаєві </t>
  </si>
  <si>
    <t>Миколаївська
загальноосвітня школа І-ІІІ ступенів № 19
Миколаївської міської ради Миколаївської області</t>
  </si>
  <si>
    <t>54018                                        м.Миколаїв,                       вул.Передова, 11-а</t>
  </si>
  <si>
    <t xml:space="preserve">ТОВ "Безпека Сервіс Південь"   </t>
  </si>
  <si>
    <t xml:space="preserve">поточний ремонт з облаштуванням пожежних дверей  ЗДО № 117 в м.Миколаєві </t>
  </si>
  <si>
    <t>ПП"Матадор"</t>
  </si>
  <si>
    <t xml:space="preserve">поточний ремонт облаштування вікон та дверей  ЗДО № 117 в м.Миколаєві </t>
  </si>
  <si>
    <t>ФОП Жорова М.А.</t>
  </si>
  <si>
    <t xml:space="preserve">поточний ремонт санвузлів  ЗОШ№ 40 в м.Миколаєві </t>
  </si>
  <si>
    <t>Миколаївська
загальноосвітня школа І-ІІІ ступенів № 40
Миколаївської міської ради Миколаївської області</t>
  </si>
  <si>
    <t>54050                               м. Миколаїв                        вул.Металургів, 97/1</t>
  </si>
  <si>
    <t xml:space="preserve">поточний ремонт ганку з улаштуванням пандусу у ЗОШ № 50 в м.Миколаєві </t>
  </si>
  <si>
    <t>Миколаївська
загальноосвітня школа І-ІІІ ступенів № 50
Миколаївської міської ради Миколаївської області</t>
  </si>
  <si>
    <t>54056
м. Миколаїв
пр. Миру, 50</t>
  </si>
  <si>
    <t>поточний ремонт приміщення з заміною металопластикових вікон  ЗОШ№50 в м.Миколвєві</t>
  </si>
  <si>
    <t xml:space="preserve">поточний ремонт паркану у ЗОШ № 37 в м.Миколаєві </t>
  </si>
  <si>
    <t>Миколаївська
загальноосвітня школа І-ІІІ ступенів № 37
Миколаївської міської ради Миколаївської області</t>
  </si>
  <si>
    <t>54002                              м. Миколаїв                        вул.Даля, 11-А</t>
  </si>
  <si>
    <t xml:space="preserve">поточний ремонт ганку з улаштуванням пандусу у ЗОШ № 34 в м.Миколаєві </t>
  </si>
  <si>
    <t>Миколаївська
загальноосвітня школа І-ІІІ ступенів № 34
Миколаївської міської ради Миколаївської області</t>
  </si>
  <si>
    <t>54017                                                      м. Миколаїв                        вул.Лягіна, 28</t>
  </si>
  <si>
    <t xml:space="preserve">поточний ремонт санвузлів  ЗОШ№ 34 в м.Миколаєві </t>
  </si>
  <si>
    <t>поточний ремонт приміщень із заміною протипожежних дверей  ЗОШ № 43 в м.Миколаєві</t>
  </si>
  <si>
    <t>Миколаївська
загальноосвітня школа І-ІІІ ступенів № 43
Миколаївської міської ради Миколаївської області</t>
  </si>
  <si>
    <t>54050                               м. Миколаїв                        прт.Богоявленський, 291</t>
  </si>
  <si>
    <t>поточний ремонт приміщень із заміною протипожежних дверей  ЗОШ № 33 в м.Миколаєві</t>
  </si>
  <si>
    <t>Миколаївська
загальноосвітня школа І-ІІІ ступенів № 33
Миколаївської міської ради Миколаївської області</t>
  </si>
  <si>
    <t>54052                                      м. Миколаїв                        вул.Океанівська, 12</t>
  </si>
  <si>
    <t>поточний ремонт приміщень із заміною протипожежних дверей  ЗОШ № 10 в м.Миколаєві</t>
  </si>
  <si>
    <t>Миколаївська загальноосвітня школа І-ІІІ ступенів № 10 Миколаївської міської ради Миколаївської області</t>
  </si>
  <si>
    <t>54034
м. Миколаїв, пр.Богоявленський, 20б</t>
  </si>
  <si>
    <t>поточний ремонт приміщень із заміною протипожежних дверей  ЗОШ № 40 в м.Миколаєві</t>
  </si>
  <si>
    <t>Миколаївська
загальноосвітня школа І-ІІІ ступенів № 56
Миколаївської міської ради Миколаївської області</t>
  </si>
  <si>
    <t>54031                               м. Миколаїв                        вул. Космонавтов, 138-А</t>
  </si>
  <si>
    <t xml:space="preserve">поточний ремонт приміщення  ЗОШ№ 22 в м.Миколаєві </t>
  </si>
  <si>
    <t>Миколаївська
загальноосвітня школа І-ІІІ ступенів № 22
Миколаївської міської ради Миколаївської області</t>
  </si>
  <si>
    <t>54029                               м. Миколаїв                        вул. Робоча, 8</t>
  </si>
  <si>
    <t>ТОВ НДЦ "Будівельних конструкцій"</t>
  </si>
  <si>
    <t xml:space="preserve"> здійснення технічного стану будівельних конструкцій будівлі ЗОШ №   46  в м.Миколаєві </t>
  </si>
  <si>
    <t>Миколаївська
загальноосвітня школа І-ІІІ ступенів № 46
Миколаївської міської ради Миколаївської області</t>
  </si>
  <si>
    <t>54034
м. Миколаїв,
вул. 9 Поздовжня, 10</t>
  </si>
  <si>
    <t xml:space="preserve">поточний ремонт системи водовідведення  ЗОШ№ 45 в м.Миколаєві </t>
  </si>
  <si>
    <t xml:space="preserve">поточний ремонт санвузлів  ЗОШ№ 45 в м.Миколаєві </t>
  </si>
  <si>
    <t>Миколаївська загальноосвітня школа І-ІІІ ступенів № 45 Миколаївської міської ради Миколаївської області</t>
  </si>
  <si>
    <t>54018                                                      м.Миколаїв, вул. 4-а Повздовжня, 58</t>
  </si>
  <si>
    <t>ТОВ "Новікон"</t>
  </si>
  <si>
    <t xml:space="preserve">поточний ремонт приміщення з заміною металопластикових вікон  ЗОШ№ 12 в м.Миколаєві </t>
  </si>
  <si>
    <t>Миколаївська загальноосвітня школа І-ІІІ ступенів №12 Миколаївської міської ради Миколаївської області</t>
  </si>
  <si>
    <t>54039
м. Миколаїв,                                                          вул. 1-ша Екіпажна, 2</t>
  </si>
  <si>
    <t xml:space="preserve">поточний ремонт приміщень  Юридичного ліцею в м.Миколаєві </t>
  </si>
  <si>
    <t xml:space="preserve">Миколаївський Юридичний ліцей Миколаївської міської ради Миколаївської області
</t>
  </si>
  <si>
    <t>54056                                     м. Миколаїв                        пр.Миру, 23-Г</t>
  </si>
  <si>
    <t xml:space="preserve">поточний ремонт санвузлу  ЗОШ№ 6 в м.Миколаєві </t>
  </si>
  <si>
    <t>Миколаївська
загальноосвітня школа І-ІІІ ступенів № 6
Миколаївської міської ради Миколаївської області</t>
  </si>
  <si>
    <t>54038                                     м. Миколаїв                        вул. Курортна, 2А</t>
  </si>
  <si>
    <t xml:space="preserve">поточний ремонт ганку з улаштуванням пандусу  ЗОШ№ 6 в м.Миколаєві </t>
  </si>
  <si>
    <t xml:space="preserve">поточний ремонт системи водовідведення  ЗОШ№ 46 в м.Миколаєві </t>
  </si>
  <si>
    <t>ТОВ "Фенікс Юг"</t>
  </si>
  <si>
    <t>поточний ремонт покрівлі: "Вогнезахисна обробка сумішшю ДСА-2 елементів дерев'яних конструкцій блоку № 1, 2, 5 спортзалу, актового залу, малого залу ЗОШ № 53 в м.Миколаєві "</t>
  </si>
  <si>
    <t>Миколаївська
загальноосвітня школа І-ІІІ ступенів № 53
Миколаївської міської ради Миколаївської області</t>
  </si>
  <si>
    <t>54003                               м. Миколаїв                        вул.Потьомкінська, 154</t>
  </si>
  <si>
    <t xml:space="preserve">поточний ремонт  зовнішніх мереж водопостачання ЗОШ№ 61 в м.Миколаєві </t>
  </si>
  <si>
    <t xml:space="preserve">поточний ремонт ганку з улаштуванням пандусу  ЗОШ№ 43 в м.Миколаєві </t>
  </si>
  <si>
    <t xml:space="preserve">поточний ремонт санвузлу  ЗОШ№ 12 в м.Миколаєві </t>
  </si>
  <si>
    <t xml:space="preserve">поточний ремонт санвузлів  ЗОШ№ 20 в м.Миколаєві </t>
  </si>
  <si>
    <t>Миколаївська
загальноосвітня школа І-ІІІ ступенів № 20
Миколаївської міської ради Миколаївської області</t>
  </si>
  <si>
    <t>54056
м. Миколаїв
вул. Космонавтів, 70</t>
  </si>
  <si>
    <t xml:space="preserve">поточний ремонт приміщень  ЗОШ№ 10 в м.Миколаєві </t>
  </si>
  <si>
    <t>поточний ремонт приміщень із заміною протипожежних дверей  ЗОШ № 30 в м.Миколаєві</t>
  </si>
  <si>
    <t>Миколаївська
загальноосвітня школа І-ІІІ ступенів № 30
Миколаївської міської ради Миколаївської області</t>
  </si>
  <si>
    <t>54007
м. Миколаїв
вул. Квітнева, 50</t>
  </si>
  <si>
    <t>поточний ремонт приміщень із заміною  дверей  ЗОШ № 54 в м.Миколаєві</t>
  </si>
  <si>
    <t>ФОП Поліщук</t>
  </si>
  <si>
    <t>поточний ремонт системи опалення  ЗОШ№ 48 в м.Миколаєві</t>
  </si>
  <si>
    <t>Миколаївська загальноосвітня школа І-ІІІ ступенів № 48Миколаївської міської ради Миколаївської області</t>
  </si>
  <si>
    <t>поточний ремонт будівлі з заміною дверей Будинку творчості дітей та юнацтва Інгульського району в м.Миколаєві</t>
  </si>
  <si>
    <t xml:space="preserve">Будинок творчості дітей та юнацтва Інгульського району </t>
  </si>
  <si>
    <t>54028
м. Миколаїв
вул. Космонавтів, 128А</t>
  </si>
  <si>
    <t>ФОП Хандобіна Т.В.</t>
  </si>
  <si>
    <t>поточний ремонт автомобіля Део-Ланос управління ММР в м.Миколаїв</t>
  </si>
  <si>
    <t>ТОВ "Кінбурн-Аква"</t>
  </si>
  <si>
    <t xml:space="preserve">поточний ремонт свердловини  ЗОШ № 61 в м.Миколаєві </t>
  </si>
  <si>
    <t>Миколаївська загальноосвітня школа І-ІІІ ступенів № 61 Миколаївської міської ради Миколаївської області</t>
  </si>
  <si>
    <t>Управління освіти Миколаївської міської ради</t>
  </si>
  <si>
    <t>ФОП Добрінов С.П.</t>
  </si>
  <si>
    <t>поточний ремонт електромережі</t>
  </si>
  <si>
    <t>адмінбудівля(приміщення їдальні)</t>
  </si>
  <si>
    <t>вул. Адміральська,20</t>
  </si>
  <si>
    <t>ТОВ Металбудсервіс</t>
  </si>
  <si>
    <t>адмінбудівля(підвальне приміщення)</t>
  </si>
  <si>
    <t>ТОВ "Південьгідробуд"</t>
  </si>
  <si>
    <t>Виконавчий комітет Миколаївської міської ради</t>
  </si>
  <si>
    <t>Виконавець робіт/послуг (підрядник)</t>
  </si>
  <si>
    <t>Виконано, тис.грн. (з трьома дес.знаками)</t>
  </si>
  <si>
    <t>Види робіт/послуг (розшифрувати)</t>
  </si>
  <si>
    <t>Назва об'єкту</t>
  </si>
  <si>
    <t>Адреса</t>
  </si>
  <si>
    <t>тис.грн.</t>
  </si>
  <si>
    <t xml:space="preserve">Інформація про виконання поточних ремонтів за 9 місяців  2019 року по  бюджету м. Миколаєва в розрізі головних розпорядників коштів 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</si>
</sst>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#,##0.000"/>
    <numFmt numFmtId="166" formatCode="#,##0.00_ ;\-#,##0.00\ "/>
    <numFmt numFmtId="167" formatCode="0.0_)"/>
    <numFmt numFmtId="168" formatCode="#,##0.000\ _₴"/>
    <numFmt numFmtId="169" formatCode="_-* #,##0.00\ _₴_-;\-* #,##0.00\ _₴_-;_-* &quot;-&quot;??\ _₴_-;_-@_-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3.2"/>
      <color theme="1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169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>
      <alignment vertical="top"/>
    </xf>
    <xf numFmtId="0" fontId="14" fillId="0" borderId="0"/>
    <xf numFmtId="0" fontId="23" fillId="0" borderId="0"/>
  </cellStyleXfs>
  <cellXfs count="291">
    <xf numFmtId="0" fontId="0" fillId="0" borderId="0" xfId="0"/>
    <xf numFmtId="0" fontId="2" fillId="0" borderId="0" xfId="0" applyFont="1" applyAlignment="1">
      <alignment horizontal="left"/>
    </xf>
    <xf numFmtId="164" fontId="3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164" fontId="6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66" fontId="9" fillId="0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righ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right" vertical="top"/>
    </xf>
    <xf numFmtId="164" fontId="6" fillId="0" borderId="2" xfId="0" applyNumberFormat="1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/>
    </xf>
    <xf numFmtId="0" fontId="1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left" vertical="top" wrapText="1"/>
    </xf>
    <xf numFmtId="0" fontId="12" fillId="3" borderId="3" xfId="2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12" fillId="3" borderId="1" xfId="2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/>
    </xf>
    <xf numFmtId="4" fontId="9" fillId="2" borderId="1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top" wrapText="1"/>
    </xf>
    <xf numFmtId="0" fontId="12" fillId="3" borderId="2" xfId="2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/>
    </xf>
    <xf numFmtId="0" fontId="12" fillId="3" borderId="2" xfId="2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12" fillId="3" borderId="3" xfId="2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165" fontId="11" fillId="3" borderId="1" xfId="0" applyNumberFormat="1" applyFont="1" applyFill="1" applyBorder="1" applyAlignment="1">
      <alignment horizontal="right" vertical="center" wrapText="1"/>
    </xf>
    <xf numFmtId="165" fontId="11" fillId="3" borderId="1" xfId="0" applyNumberFormat="1" applyFont="1" applyFill="1" applyBorder="1" applyAlignment="1">
      <alignment horizontal="right" vertical="top" wrapText="1"/>
    </xf>
    <xf numFmtId="166" fontId="9" fillId="3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left" vertical="top" wrapText="1"/>
    </xf>
    <xf numFmtId="166" fontId="10" fillId="2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vertical="top" wrapText="1"/>
    </xf>
    <xf numFmtId="166" fontId="8" fillId="3" borderId="2" xfId="0" applyNumberFormat="1" applyFont="1" applyFill="1" applyBorder="1" applyAlignment="1">
      <alignment horizontal="right" vertical="top"/>
    </xf>
    <xf numFmtId="4" fontId="9" fillId="3" borderId="1" xfId="0" applyNumberFormat="1" applyFont="1" applyFill="1" applyBorder="1" applyAlignment="1">
      <alignment horizontal="right" vertical="top"/>
    </xf>
    <xf numFmtId="0" fontId="0" fillId="0" borderId="2" xfId="0" applyBorder="1"/>
    <xf numFmtId="166" fontId="9" fillId="2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right" vertical="top"/>
    </xf>
    <xf numFmtId="0" fontId="10" fillId="0" borderId="3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left"/>
    </xf>
    <xf numFmtId="165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 vertical="distributed"/>
    </xf>
    <xf numFmtId="165" fontId="2" fillId="0" borderId="2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 vertical="distributed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distributed"/>
    </xf>
    <xf numFmtId="165" fontId="9" fillId="0" borderId="5" xfId="0" applyNumberFormat="1" applyFont="1" applyFill="1" applyBorder="1" applyAlignment="1">
      <alignment horizontal="right" vertical="center"/>
    </xf>
    <xf numFmtId="167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 wrapText="1"/>
    </xf>
    <xf numFmtId="164" fontId="16" fillId="0" borderId="1" xfId="0" applyNumberFormat="1" applyFont="1" applyFill="1" applyBorder="1" applyAlignment="1">
      <alignment horizontal="left" vertical="center" wrapText="1"/>
    </xf>
    <xf numFmtId="165" fontId="16" fillId="0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wrapText="1"/>
    </xf>
    <xf numFmtId="164" fontId="16" fillId="0" borderId="11" xfId="0" applyNumberFormat="1" applyFont="1" applyFill="1" applyBorder="1" applyAlignment="1">
      <alignment horizontal="left"/>
    </xf>
    <xf numFmtId="164" fontId="16" fillId="0" borderId="12" xfId="0" applyNumberFormat="1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/>
    </xf>
    <xf numFmtId="164" fontId="16" fillId="0" borderId="13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/>
    </xf>
    <xf numFmtId="49" fontId="9" fillId="0" borderId="3" xfId="0" applyNumberFormat="1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right" wrapText="1"/>
    </xf>
    <xf numFmtId="0" fontId="9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164" fontId="19" fillId="0" borderId="1" xfId="0" applyNumberFormat="1" applyFont="1" applyFill="1" applyBorder="1" applyAlignment="1">
      <alignment horizontal="left" vertical="center"/>
    </xf>
    <xf numFmtId="164" fontId="19" fillId="0" borderId="1" xfId="0" applyNumberFormat="1" applyFont="1" applyFill="1" applyBorder="1" applyAlignment="1">
      <alignment horizontal="right" vertical="center"/>
    </xf>
    <xf numFmtId="164" fontId="19" fillId="0" borderId="1" xfId="0" applyNumberFormat="1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168" fontId="16" fillId="0" borderId="7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3" borderId="1" xfId="0" applyFont="1" applyFill="1" applyBorder="1" applyAlignment="1">
      <alignment horizontal="left" vertical="center"/>
    </xf>
    <xf numFmtId="168" fontId="2" fillId="0" borderId="7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 applyProtection="1">
      <alignment horizontal="left" vertical="center" wrapText="1"/>
    </xf>
    <xf numFmtId="168" fontId="2" fillId="0" borderId="7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>
      <alignment horizontal="left"/>
    </xf>
    <xf numFmtId="168" fontId="2" fillId="0" borderId="7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wrapText="1"/>
    </xf>
    <xf numFmtId="168" fontId="16" fillId="0" borderId="7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wrapText="1"/>
    </xf>
    <xf numFmtId="168" fontId="16" fillId="0" borderId="7" xfId="0" applyNumberFormat="1" applyFont="1" applyFill="1" applyBorder="1" applyAlignment="1">
      <alignment horizontal="right" vertical="center" wrapText="1"/>
    </xf>
    <xf numFmtId="164" fontId="9" fillId="0" borderId="1" xfId="3" applyNumberFormat="1" applyFont="1" applyFill="1" applyBorder="1" applyAlignment="1">
      <alignment horizontal="left" vertical="top"/>
    </xf>
    <xf numFmtId="168" fontId="9" fillId="0" borderId="7" xfId="3" applyNumberFormat="1" applyFont="1" applyFill="1" applyBorder="1" applyAlignment="1">
      <alignment horizontal="right" vertical="center"/>
    </xf>
    <xf numFmtId="49" fontId="9" fillId="0" borderId="1" xfId="3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/>
    </xf>
    <xf numFmtId="49" fontId="9" fillId="0" borderId="1" xfId="4" applyNumberFormat="1" applyFont="1" applyFill="1" applyBorder="1" applyAlignment="1">
      <alignment horizontal="left" vertical="center" wrapText="1"/>
    </xf>
    <xf numFmtId="168" fontId="2" fillId="0" borderId="7" xfId="0" applyNumberFormat="1" applyFont="1" applyFill="1" applyBorder="1" applyAlignment="1">
      <alignment horizontal="right" vertical="center"/>
    </xf>
    <xf numFmtId="168" fontId="2" fillId="0" borderId="7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8" fontId="16" fillId="0" borderId="1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168" fontId="3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168" fontId="9" fillId="0" borderId="6" xfId="1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168" fontId="11" fillId="0" borderId="1" xfId="1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wrapText="1"/>
    </xf>
    <xf numFmtId="168" fontId="11" fillId="0" borderId="2" xfId="1" applyNumberFormat="1" applyFont="1" applyFill="1" applyBorder="1" applyAlignment="1">
      <alignment horizontal="right" vertical="center" wrapText="1"/>
    </xf>
    <xf numFmtId="168" fontId="9" fillId="0" borderId="1" xfId="1" applyNumberFormat="1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left" vertical="center" wrapText="1"/>
    </xf>
    <xf numFmtId="168" fontId="9" fillId="0" borderId="16" xfId="1" applyNumberFormat="1" applyFont="1" applyFill="1" applyBorder="1" applyAlignment="1">
      <alignment horizontal="right" vertical="center" wrapText="1"/>
    </xf>
    <xf numFmtId="168" fontId="9" fillId="0" borderId="14" xfId="1" applyNumberFormat="1" applyFont="1" applyFill="1" applyBorder="1" applyAlignment="1">
      <alignment horizontal="right" vertical="center" wrapText="1"/>
    </xf>
    <xf numFmtId="168" fontId="9" fillId="0" borderId="6" xfId="1" applyNumberFormat="1" applyFont="1" applyFill="1" applyBorder="1" applyAlignment="1">
      <alignment horizontal="right" vertical="center" wrapText="1"/>
    </xf>
    <xf numFmtId="49" fontId="9" fillId="0" borderId="17" xfId="0" applyNumberFormat="1" applyFont="1" applyFill="1" applyBorder="1" applyAlignment="1">
      <alignment horizontal="left" vertical="center" wrapText="1"/>
    </xf>
    <xf numFmtId="49" fontId="9" fillId="0" borderId="18" xfId="0" applyNumberFormat="1" applyFont="1" applyFill="1" applyBorder="1" applyAlignment="1">
      <alignment horizontal="left" vertical="center" wrapText="1"/>
    </xf>
    <xf numFmtId="168" fontId="16" fillId="0" borderId="6" xfId="0" applyNumberFormat="1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8" fontId="9" fillId="3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68" fontId="15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168" fontId="9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 shrinkToFit="1"/>
    </xf>
    <xf numFmtId="168" fontId="9" fillId="3" borderId="1" xfId="1" applyNumberFormat="1" applyFont="1" applyFill="1" applyBorder="1" applyAlignment="1">
      <alignment horizontal="right" vertical="center"/>
    </xf>
    <xf numFmtId="0" fontId="11" fillId="3" borderId="1" xfId="5" applyFont="1" applyFill="1" applyBorder="1" applyAlignment="1">
      <alignment horizontal="left" vertical="center" wrapText="1"/>
    </xf>
    <xf numFmtId="168" fontId="11" fillId="3" borderId="1" xfId="5" applyNumberFormat="1" applyFont="1" applyFill="1" applyBorder="1" applyAlignment="1">
      <alignment horizontal="right" vertical="center" wrapText="1"/>
    </xf>
    <xf numFmtId="0" fontId="11" fillId="3" borderId="1" xfId="5" applyFont="1" applyFill="1" applyBorder="1" applyAlignment="1">
      <alignment horizontal="left" vertical="center" wrapText="1" shrinkToFit="1"/>
    </xf>
    <xf numFmtId="168" fontId="2" fillId="3" borderId="1" xfId="0" applyNumberFormat="1" applyFont="1" applyFill="1" applyBorder="1" applyAlignment="1">
      <alignment horizontal="right" vertical="center" wrapText="1"/>
    </xf>
    <xf numFmtId="168" fontId="2" fillId="0" borderId="1" xfId="0" applyNumberFormat="1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15" fillId="0" borderId="19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164" fontId="3" fillId="0" borderId="1" xfId="0" applyNumberFormat="1" applyFont="1" applyFill="1" applyBorder="1" applyAlignment="1">
      <alignment horizontal="right" vertical="center" wrapText="1"/>
    </xf>
    <xf numFmtId="164" fontId="11" fillId="0" borderId="17" xfId="0" applyNumberFormat="1" applyFont="1" applyFill="1" applyBorder="1" applyAlignment="1">
      <alignment horizontal="left" vertical="center"/>
    </xf>
    <xf numFmtId="164" fontId="11" fillId="0" borderId="2" xfId="0" applyNumberFormat="1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left" vertical="top"/>
    </xf>
    <xf numFmtId="165" fontId="15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9" fillId="0" borderId="1" xfId="6" applyFont="1" applyBorder="1" applyAlignment="1" applyProtection="1">
      <alignment horizontal="left" vertical="center"/>
    </xf>
    <xf numFmtId="49" fontId="9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wrapText="1"/>
    </xf>
    <xf numFmtId="0" fontId="1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top" wrapText="1"/>
    </xf>
    <xf numFmtId="0" fontId="11" fillId="2" borderId="0" xfId="0" applyFont="1" applyFill="1" applyAlignment="1">
      <alignment vertical="center"/>
    </xf>
    <xf numFmtId="164" fontId="11" fillId="2" borderId="1" xfId="0" applyNumberFormat="1" applyFont="1" applyFill="1" applyBorder="1" applyAlignment="1">
      <alignment horizontal="left" wrapText="1"/>
    </xf>
    <xf numFmtId="164" fontId="11" fillId="2" borderId="1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wrapText="1"/>
    </xf>
    <xf numFmtId="2" fontId="11" fillId="2" borderId="1" xfId="0" applyNumberFormat="1" applyFont="1" applyFill="1" applyBorder="1" applyAlignment="1">
      <alignment wrapText="1"/>
    </xf>
    <xf numFmtId="2" fontId="11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164" fontId="11" fillId="2" borderId="1" xfId="0" applyNumberFormat="1" applyFont="1" applyFill="1" applyBorder="1" applyAlignment="1">
      <alignment horizontal="left" vertical="center"/>
    </xf>
    <xf numFmtId="164" fontId="11" fillId="2" borderId="4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vertical="center"/>
    </xf>
    <xf numFmtId="2" fontId="11" fillId="2" borderId="3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49" fontId="11" fillId="2" borderId="7" xfId="0" applyNumberFormat="1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horizontal="justify" vertical="center" wrapText="1"/>
    </xf>
    <xf numFmtId="164" fontId="11" fillId="2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/>
    </xf>
    <xf numFmtId="164" fontId="11" fillId="2" borderId="1" xfId="0" applyNumberFormat="1" applyFont="1" applyFill="1" applyBorder="1" applyAlignment="1">
      <alignment horizontal="left" vertical="center" wrapText="1"/>
    </xf>
    <xf numFmtId="164" fontId="11" fillId="2" borderId="6" xfId="0" applyNumberFormat="1" applyFont="1" applyFill="1" applyBorder="1" applyAlignment="1">
      <alignment horizontal="left" vertical="center"/>
    </xf>
    <xf numFmtId="165" fontId="11" fillId="2" borderId="1" xfId="0" applyNumberFormat="1" applyFont="1" applyFill="1" applyBorder="1" applyAlignment="1">
      <alignment horizontal="righ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164" fontId="11" fillId="2" borderId="6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164" fontId="11" fillId="2" borderId="1" xfId="0" applyNumberFormat="1" applyFont="1" applyFill="1" applyBorder="1" applyAlignment="1">
      <alignment horizontal="left"/>
    </xf>
    <xf numFmtId="164" fontId="11" fillId="2" borderId="4" xfId="0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164" fontId="11" fillId="2" borderId="4" xfId="0" applyNumberFormat="1" applyFont="1" applyFill="1" applyBorder="1" applyAlignment="1">
      <alignment horizontal="right" wrapText="1"/>
    </xf>
    <xf numFmtId="164" fontId="9" fillId="2" borderId="1" xfId="0" applyNumberFormat="1" applyFont="1" applyFill="1" applyBorder="1" applyAlignment="1">
      <alignment horizontal="right" vertic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11" fillId="0" borderId="1" xfId="0" applyNumberFormat="1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right" wrapText="1"/>
    </xf>
    <xf numFmtId="0" fontId="16" fillId="0" borderId="0" xfId="0" applyFont="1" applyFill="1" applyAlignment="1">
      <alignment horizontal="left" vertical="top" wrapText="1"/>
    </xf>
  </cellXfs>
  <cellStyles count="10">
    <cellStyle name="Гиперссылка" xfId="6" builtinId="8"/>
    <cellStyle name="Звичайний_Додаток _ 3 зм_ни 4575 2" xfId="7"/>
    <cellStyle name="Обычный" xfId="0" builtinId="0"/>
    <cellStyle name="Обычный 2" xfId="8"/>
    <cellStyle name="Обычный 3" xfId="2"/>
    <cellStyle name="Обычный_1" xfId="5"/>
    <cellStyle name="Обычный_1 кв.2019 1216020" xfId="4"/>
    <cellStyle name="Обычный_1 півр. 2018" xfId="3"/>
    <cellStyle name="Стиль 1" xfId="9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28"/>
  <sheetViews>
    <sheetView tabSelected="1" zoomScale="120" zoomScaleNormal="120" workbookViewId="0">
      <pane ySplit="4" topLeftCell="A5" activePane="bottomLeft" state="frozen"/>
      <selection pane="bottomLeft" activeCell="E251" sqref="E251"/>
    </sheetView>
  </sheetViews>
  <sheetFormatPr defaultColWidth="8.85546875" defaultRowHeight="15"/>
  <cols>
    <col min="1" max="1" width="26.7109375" style="1" customWidth="1"/>
    <col min="2" max="2" width="35.28515625" style="1" customWidth="1"/>
    <col min="3" max="3" width="25.85546875" style="1" customWidth="1"/>
    <col min="4" max="4" width="20.28515625" style="1" customWidth="1"/>
    <col min="5" max="5" width="31.140625" style="1" bestFit="1" customWidth="1"/>
    <col min="6" max="16384" width="8.85546875" style="1"/>
  </cols>
  <sheetData>
    <row r="1" spans="1:5">
      <c r="A1" s="290" t="s">
        <v>1324</v>
      </c>
      <c r="B1" s="290"/>
      <c r="C1" s="290"/>
      <c r="D1" s="290"/>
      <c r="E1" s="290"/>
    </row>
    <row r="2" spans="1:5">
      <c r="A2" s="289" t="s">
        <v>1323</v>
      </c>
      <c r="B2" s="289"/>
      <c r="C2" s="289"/>
      <c r="D2" s="289"/>
      <c r="E2" s="289"/>
    </row>
    <row r="3" spans="1:5" s="288" customFormat="1">
      <c r="A3" s="287" t="s">
        <v>1322</v>
      </c>
      <c r="B3" s="287" t="s">
        <v>1321</v>
      </c>
      <c r="C3" s="287" t="s">
        <v>1320</v>
      </c>
      <c r="D3" s="287" t="s">
        <v>1319</v>
      </c>
      <c r="E3" s="287" t="s">
        <v>1318</v>
      </c>
    </row>
    <row r="4" spans="1:5">
      <c r="A4" s="287"/>
      <c r="B4" s="287"/>
      <c r="C4" s="287"/>
      <c r="D4" s="287"/>
      <c r="E4" s="287"/>
    </row>
    <row r="5" spans="1:5" s="207" customFormat="1">
      <c r="A5" s="129" t="s">
        <v>1317</v>
      </c>
      <c r="B5" s="129"/>
      <c r="C5" s="129"/>
      <c r="D5" s="129"/>
      <c r="E5" s="129"/>
    </row>
    <row r="6" spans="1:5" s="282" customFormat="1" ht="30">
      <c r="A6" s="134" t="s">
        <v>1313</v>
      </c>
      <c r="B6" s="286" t="s">
        <v>1312</v>
      </c>
      <c r="C6" s="285" t="s">
        <v>1007</v>
      </c>
      <c r="D6" s="284">
        <v>151.28004999999999</v>
      </c>
      <c r="E6" s="283" t="s">
        <v>1316</v>
      </c>
    </row>
    <row r="7" spans="1:5" s="282" customFormat="1" ht="30">
      <c r="A7" s="134" t="s">
        <v>1313</v>
      </c>
      <c r="B7" s="286" t="s">
        <v>1315</v>
      </c>
      <c r="C7" s="285" t="s">
        <v>1007</v>
      </c>
      <c r="D7" s="284">
        <v>108.176</v>
      </c>
      <c r="E7" s="283" t="s">
        <v>1314</v>
      </c>
    </row>
    <row r="8" spans="1:5" s="282" customFormat="1" ht="30">
      <c r="A8" s="134" t="s">
        <v>1313</v>
      </c>
      <c r="B8" s="286" t="s">
        <v>1312</v>
      </c>
      <c r="C8" s="285" t="s">
        <v>1311</v>
      </c>
      <c r="D8" s="284">
        <v>30.628</v>
      </c>
      <c r="E8" s="283" t="s">
        <v>1310</v>
      </c>
    </row>
    <row r="9" spans="1:5" s="282" customFormat="1">
      <c r="A9" s="145"/>
      <c r="B9" s="145" t="s">
        <v>1</v>
      </c>
      <c r="C9" s="225" t="s">
        <v>0</v>
      </c>
      <c r="D9" s="226">
        <f>SUM(D6:D8)</f>
        <v>290.08404999999999</v>
      </c>
      <c r="E9" s="225" t="s">
        <v>0</v>
      </c>
    </row>
    <row r="10" spans="1:5">
      <c r="A10" s="281" t="s">
        <v>1309</v>
      </c>
      <c r="B10" s="281"/>
      <c r="C10" s="281"/>
      <c r="D10" s="281"/>
      <c r="E10" s="281"/>
    </row>
    <row r="11" spans="1:5" s="238" customFormat="1" ht="60">
      <c r="A11" s="259" t="s">
        <v>1091</v>
      </c>
      <c r="B11" s="259" t="s">
        <v>1308</v>
      </c>
      <c r="C11" s="269" t="s">
        <v>1307</v>
      </c>
      <c r="D11" s="253">
        <f>27.018</f>
        <v>27.018000000000001</v>
      </c>
      <c r="E11" s="280" t="s">
        <v>1306</v>
      </c>
    </row>
    <row r="12" spans="1:5" s="238" customFormat="1" ht="60">
      <c r="A12" s="264" t="s">
        <v>1128</v>
      </c>
      <c r="B12" s="259" t="s">
        <v>1127</v>
      </c>
      <c r="C12" s="278" t="s">
        <v>1305</v>
      </c>
      <c r="D12" s="279">
        <f>6.9324+5.985</f>
        <v>12.917400000000001</v>
      </c>
      <c r="E12" s="252" t="s">
        <v>1304</v>
      </c>
    </row>
    <row r="13" spans="1:5" s="238" customFormat="1" ht="75">
      <c r="A13" s="259" t="s">
        <v>1303</v>
      </c>
      <c r="B13" s="259" t="s">
        <v>1302</v>
      </c>
      <c r="C13" s="278" t="s">
        <v>1301</v>
      </c>
      <c r="D13" s="277">
        <f>18</f>
        <v>18</v>
      </c>
      <c r="E13" s="252" t="s">
        <v>1022</v>
      </c>
    </row>
    <row r="14" spans="1:5" s="238" customFormat="1" ht="45">
      <c r="A14" s="259" t="s">
        <v>1106</v>
      </c>
      <c r="B14" s="259" t="s">
        <v>1300</v>
      </c>
      <c r="C14" s="269" t="s">
        <v>1299</v>
      </c>
      <c r="D14" s="253">
        <v>38.156999999999996</v>
      </c>
      <c r="E14" s="252" t="s">
        <v>1060</v>
      </c>
    </row>
    <row r="15" spans="1:5" s="238" customFormat="1" ht="45">
      <c r="A15" s="249" t="s">
        <v>1029</v>
      </c>
      <c r="B15" s="249" t="s">
        <v>1028</v>
      </c>
      <c r="C15" s="260" t="s">
        <v>1031</v>
      </c>
      <c r="D15" s="256">
        <v>17.53</v>
      </c>
      <c r="E15" s="245" t="s">
        <v>1298</v>
      </c>
    </row>
    <row r="16" spans="1:5" s="238" customFormat="1" ht="75">
      <c r="A16" s="261" t="s">
        <v>1236</v>
      </c>
      <c r="B16" s="259" t="s">
        <v>1235</v>
      </c>
      <c r="C16" s="274" t="s">
        <v>1257</v>
      </c>
      <c r="D16" s="276">
        <v>11.993259999999999</v>
      </c>
      <c r="E16" s="275" t="s">
        <v>1044</v>
      </c>
    </row>
    <row r="17" spans="1:5" s="238" customFormat="1" ht="75">
      <c r="A17" s="261" t="s">
        <v>1094</v>
      </c>
      <c r="B17" s="259" t="s">
        <v>1093</v>
      </c>
      <c r="C17" s="274" t="s">
        <v>1297</v>
      </c>
      <c r="D17" s="276">
        <v>11.993259999999999</v>
      </c>
      <c r="E17" s="275" t="s">
        <v>1060</v>
      </c>
    </row>
    <row r="18" spans="1:5" s="238" customFormat="1" ht="75">
      <c r="A18" s="261" t="s">
        <v>1296</v>
      </c>
      <c r="B18" s="259" t="s">
        <v>1295</v>
      </c>
      <c r="C18" s="274" t="s">
        <v>1294</v>
      </c>
      <c r="D18" s="276">
        <v>23.99362</v>
      </c>
      <c r="E18" s="275" t="s">
        <v>1060</v>
      </c>
    </row>
    <row r="19" spans="1:5" s="238" customFormat="1" ht="45">
      <c r="A19" s="251" t="s">
        <v>1256</v>
      </c>
      <c r="B19" s="259" t="s">
        <v>1255</v>
      </c>
      <c r="C19" s="274" t="s">
        <v>1293</v>
      </c>
      <c r="D19" s="276">
        <v>41.576000000000001</v>
      </c>
      <c r="E19" s="275" t="s">
        <v>1044</v>
      </c>
    </row>
    <row r="20" spans="1:5" s="238" customFormat="1" ht="75">
      <c r="A20" s="261" t="s">
        <v>1292</v>
      </c>
      <c r="B20" s="259" t="s">
        <v>1291</v>
      </c>
      <c r="C20" s="274" t="s">
        <v>1290</v>
      </c>
      <c r="D20" s="276">
        <v>22.127420000000001</v>
      </c>
      <c r="E20" s="244" t="s">
        <v>1211</v>
      </c>
    </row>
    <row r="21" spans="1:5" s="238" customFormat="1" ht="45">
      <c r="A21" s="251" t="s">
        <v>1274</v>
      </c>
      <c r="B21" s="259" t="s">
        <v>1273</v>
      </c>
      <c r="C21" s="274" t="s">
        <v>1289</v>
      </c>
      <c r="D21" s="276">
        <v>126.6</v>
      </c>
      <c r="E21" s="266" t="s">
        <v>939</v>
      </c>
    </row>
    <row r="22" spans="1:5" s="238" customFormat="1" ht="75">
      <c r="A22" s="261" t="s">
        <v>1250</v>
      </c>
      <c r="B22" s="259" t="s">
        <v>1249</v>
      </c>
      <c r="C22" s="274" t="s">
        <v>1288</v>
      </c>
      <c r="D22" s="276">
        <v>69.991259999999997</v>
      </c>
      <c r="E22" s="275" t="s">
        <v>1060</v>
      </c>
    </row>
    <row r="23" spans="1:5" s="238" customFormat="1" ht="75">
      <c r="A23" s="261" t="s">
        <v>1091</v>
      </c>
      <c r="B23" s="259" t="s">
        <v>1090</v>
      </c>
      <c r="C23" s="274" t="s">
        <v>1287</v>
      </c>
      <c r="D23" s="276">
        <v>28.12548</v>
      </c>
      <c r="E23" s="275" t="s">
        <v>1060</v>
      </c>
    </row>
    <row r="24" spans="1:5" s="238" customFormat="1" ht="120">
      <c r="A24" s="262" t="s">
        <v>1286</v>
      </c>
      <c r="B24" s="259" t="s">
        <v>1285</v>
      </c>
      <c r="C24" s="274" t="s">
        <v>1284</v>
      </c>
      <c r="D24" s="276">
        <v>74.835999999999999</v>
      </c>
      <c r="E24" s="244" t="s">
        <v>1283</v>
      </c>
    </row>
    <row r="25" spans="1:5" s="238" customFormat="1" ht="75">
      <c r="A25" s="251" t="s">
        <v>1266</v>
      </c>
      <c r="B25" s="259" t="s">
        <v>1265</v>
      </c>
      <c r="C25" s="274" t="s">
        <v>1282</v>
      </c>
      <c r="D25" s="276">
        <v>57.518549999999998</v>
      </c>
      <c r="E25" s="244" t="s">
        <v>1233</v>
      </c>
    </row>
    <row r="26" spans="1:5" s="238" customFormat="1" ht="75">
      <c r="A26" s="261" t="s">
        <v>1280</v>
      </c>
      <c r="B26" s="259" t="s">
        <v>1279</v>
      </c>
      <c r="C26" s="274" t="s">
        <v>1281</v>
      </c>
      <c r="D26" s="276">
        <v>70</v>
      </c>
      <c r="E26" s="266" t="s">
        <v>939</v>
      </c>
    </row>
    <row r="27" spans="1:5" s="238" customFormat="1" ht="75">
      <c r="A27" s="261" t="s">
        <v>1280</v>
      </c>
      <c r="B27" s="259" t="s">
        <v>1279</v>
      </c>
      <c r="C27" s="274" t="s">
        <v>1278</v>
      </c>
      <c r="D27" s="276">
        <v>126.6</v>
      </c>
      <c r="E27" s="266" t="s">
        <v>939</v>
      </c>
    </row>
    <row r="28" spans="1:5" s="238" customFormat="1" ht="60">
      <c r="A28" s="261" t="s">
        <v>1277</v>
      </c>
      <c r="B28" s="259" t="s">
        <v>1276</v>
      </c>
      <c r="C28" s="274" t="s">
        <v>1275</v>
      </c>
      <c r="D28" s="276">
        <v>41.546210000000002</v>
      </c>
      <c r="E28" s="275" t="s">
        <v>1060</v>
      </c>
    </row>
    <row r="29" spans="1:5" s="238" customFormat="1" ht="60">
      <c r="A29" s="251" t="s">
        <v>1274</v>
      </c>
      <c r="B29" s="259" t="s">
        <v>1273</v>
      </c>
      <c r="C29" s="274" t="s">
        <v>1272</v>
      </c>
      <c r="D29" s="276">
        <v>52.661999999999999</v>
      </c>
      <c r="E29" s="244" t="s">
        <v>1271</v>
      </c>
    </row>
    <row r="30" spans="1:5" s="238" customFormat="1" ht="45">
      <c r="A30" s="251" t="s">
        <v>1270</v>
      </c>
      <c r="B30" s="259" t="s">
        <v>1269</v>
      </c>
      <c r="C30" s="274" t="s">
        <v>1268</v>
      </c>
      <c r="D30" s="276">
        <v>51.99662</v>
      </c>
      <c r="E30" s="275" t="s">
        <v>1060</v>
      </c>
    </row>
    <row r="31" spans="1:5" s="238" customFormat="1" ht="75">
      <c r="A31" s="261" t="s">
        <v>1236</v>
      </c>
      <c r="B31" s="259" t="s">
        <v>1235</v>
      </c>
      <c r="C31" s="274" t="s">
        <v>1267</v>
      </c>
      <c r="D31" s="276">
        <v>57.783669000000003</v>
      </c>
      <c r="E31" s="244" t="s">
        <v>1233</v>
      </c>
    </row>
    <row r="32" spans="1:5" s="238" customFormat="1" ht="75">
      <c r="A32" s="251" t="s">
        <v>1266</v>
      </c>
      <c r="B32" s="259" t="s">
        <v>1265</v>
      </c>
      <c r="C32" s="274" t="s">
        <v>1264</v>
      </c>
      <c r="D32" s="276">
        <v>30</v>
      </c>
      <c r="E32" s="244" t="s">
        <v>1263</v>
      </c>
    </row>
    <row r="33" spans="1:5" s="238" customFormat="1" ht="75">
      <c r="A33" s="262" t="s">
        <v>1262</v>
      </c>
      <c r="B33" s="259" t="s">
        <v>1261</v>
      </c>
      <c r="C33" s="274" t="s">
        <v>1260</v>
      </c>
      <c r="D33" s="276">
        <v>74.835999999999999</v>
      </c>
      <c r="E33" s="244" t="s">
        <v>1036</v>
      </c>
    </row>
    <row r="34" spans="1:5" s="238" customFormat="1" ht="75">
      <c r="A34" s="262" t="s">
        <v>1259</v>
      </c>
      <c r="B34" s="259" t="s">
        <v>1258</v>
      </c>
      <c r="C34" s="274" t="s">
        <v>1257</v>
      </c>
      <c r="D34" s="276">
        <v>12</v>
      </c>
      <c r="E34" s="244" t="s">
        <v>1079</v>
      </c>
    </row>
    <row r="35" spans="1:5" s="238" customFormat="1" ht="60">
      <c r="A35" s="249" t="s">
        <v>1256</v>
      </c>
      <c r="B35" s="259" t="s">
        <v>1255</v>
      </c>
      <c r="C35" s="274" t="s">
        <v>1254</v>
      </c>
      <c r="D35" s="273">
        <v>11.993259999999999</v>
      </c>
      <c r="E35" s="275" t="s">
        <v>1060</v>
      </c>
    </row>
    <row r="36" spans="1:5" s="238" customFormat="1" ht="75">
      <c r="A36" s="249" t="s">
        <v>1253</v>
      </c>
      <c r="B36" s="259" t="s">
        <v>1252</v>
      </c>
      <c r="C36" s="274" t="s">
        <v>1251</v>
      </c>
      <c r="D36" s="273">
        <v>11.993259999999999</v>
      </c>
      <c r="E36" s="272" t="s">
        <v>1044</v>
      </c>
    </row>
    <row r="37" spans="1:5" s="238" customFormat="1" ht="75">
      <c r="A37" s="261" t="s">
        <v>1250</v>
      </c>
      <c r="B37" s="259" t="s">
        <v>1249</v>
      </c>
      <c r="C37" s="274" t="s">
        <v>1248</v>
      </c>
      <c r="D37" s="273">
        <v>11.993259999999999</v>
      </c>
      <c r="E37" s="272" t="s">
        <v>1044</v>
      </c>
    </row>
    <row r="38" spans="1:5" s="238" customFormat="1" ht="75">
      <c r="A38" s="249" t="s">
        <v>1246</v>
      </c>
      <c r="B38" s="259" t="s">
        <v>1245</v>
      </c>
      <c r="C38" s="274" t="s">
        <v>1247</v>
      </c>
      <c r="D38" s="273">
        <v>126.61924</v>
      </c>
      <c r="E38" s="275" t="s">
        <v>1060</v>
      </c>
    </row>
    <row r="39" spans="1:5" s="238" customFormat="1" ht="75">
      <c r="A39" s="249" t="s">
        <v>1246</v>
      </c>
      <c r="B39" s="259" t="s">
        <v>1245</v>
      </c>
      <c r="C39" s="274" t="s">
        <v>1244</v>
      </c>
      <c r="D39" s="273">
        <v>70</v>
      </c>
      <c r="E39" s="266" t="s">
        <v>939</v>
      </c>
    </row>
    <row r="40" spans="1:5" s="238" customFormat="1" ht="75">
      <c r="A40" s="249" t="s">
        <v>1243</v>
      </c>
      <c r="B40" s="259" t="s">
        <v>1242</v>
      </c>
      <c r="C40" s="274" t="s">
        <v>1241</v>
      </c>
      <c r="D40" s="273">
        <v>41.576000000000001</v>
      </c>
      <c r="E40" s="272" t="s">
        <v>1188</v>
      </c>
    </row>
    <row r="41" spans="1:5" s="238" customFormat="1" ht="75">
      <c r="A41" s="249" t="s">
        <v>1239</v>
      </c>
      <c r="B41" s="259" t="s">
        <v>1238</v>
      </c>
      <c r="C41" s="260" t="s">
        <v>1240</v>
      </c>
      <c r="D41" s="273">
        <v>52.661999999999999</v>
      </c>
      <c r="E41" s="272" t="s">
        <v>907</v>
      </c>
    </row>
    <row r="42" spans="1:5" s="238" customFormat="1" ht="75">
      <c r="A42" s="249" t="s">
        <v>1239</v>
      </c>
      <c r="B42" s="259" t="s">
        <v>1238</v>
      </c>
      <c r="C42" s="274" t="s">
        <v>1237</v>
      </c>
      <c r="D42" s="273">
        <v>147.33699999999999</v>
      </c>
      <c r="E42" s="266" t="s">
        <v>939</v>
      </c>
    </row>
    <row r="43" spans="1:5" s="238" customFormat="1" ht="75">
      <c r="A43" s="249" t="s">
        <v>1236</v>
      </c>
      <c r="B43" s="259" t="s">
        <v>1235</v>
      </c>
      <c r="C43" s="274" t="s">
        <v>1234</v>
      </c>
      <c r="D43" s="273">
        <v>72.2</v>
      </c>
      <c r="E43" s="272" t="s">
        <v>1233</v>
      </c>
    </row>
    <row r="44" spans="1:5" s="238" customFormat="1" ht="45">
      <c r="A44" s="251" t="s">
        <v>1025</v>
      </c>
      <c r="B44" s="259" t="s">
        <v>1024</v>
      </c>
      <c r="C44" s="250" t="s">
        <v>1023</v>
      </c>
      <c r="D44" s="246">
        <v>30</v>
      </c>
      <c r="E44" s="245" t="s">
        <v>1022</v>
      </c>
    </row>
    <row r="45" spans="1:5" s="238" customFormat="1" ht="45">
      <c r="A45" s="249" t="s">
        <v>1021</v>
      </c>
      <c r="B45" s="259" t="s">
        <v>1020</v>
      </c>
      <c r="C45" s="260" t="s">
        <v>1019</v>
      </c>
      <c r="D45" s="246">
        <v>32</v>
      </c>
      <c r="E45" s="245" t="s">
        <v>1018</v>
      </c>
    </row>
    <row r="46" spans="1:5" s="238" customFormat="1" ht="60">
      <c r="A46" s="249" t="s">
        <v>1017</v>
      </c>
      <c r="B46" s="259" t="s">
        <v>1016</v>
      </c>
      <c r="C46" s="260" t="s">
        <v>1232</v>
      </c>
      <c r="D46" s="246">
        <f>20+22.862</f>
        <v>42.861999999999995</v>
      </c>
      <c r="E46" s="245" t="s">
        <v>1231</v>
      </c>
    </row>
    <row r="47" spans="1:5" s="238" customFormat="1" ht="60">
      <c r="A47" s="249" t="s">
        <v>1017</v>
      </c>
      <c r="B47" s="259" t="s">
        <v>1016</v>
      </c>
      <c r="C47" s="260" t="s">
        <v>1230</v>
      </c>
      <c r="D47" s="246">
        <v>11.8</v>
      </c>
      <c r="E47" s="266" t="s">
        <v>1229</v>
      </c>
    </row>
    <row r="48" spans="1:5" s="238" customFormat="1" ht="75">
      <c r="A48" s="249" t="s">
        <v>1228</v>
      </c>
      <c r="B48" s="259" t="s">
        <v>1227</v>
      </c>
      <c r="C48" s="260" t="s">
        <v>1226</v>
      </c>
      <c r="D48" s="246">
        <v>74.835999999999999</v>
      </c>
      <c r="E48" s="245" t="s">
        <v>1225</v>
      </c>
    </row>
    <row r="49" spans="1:5" s="238" customFormat="1" ht="75">
      <c r="A49" s="249" t="s">
        <v>1224</v>
      </c>
      <c r="B49" s="259" t="s">
        <v>1223</v>
      </c>
      <c r="C49" s="271" t="s">
        <v>1222</v>
      </c>
      <c r="D49" s="246">
        <v>74.8</v>
      </c>
      <c r="E49" s="245" t="s">
        <v>1060</v>
      </c>
    </row>
    <row r="50" spans="1:5" s="238" customFormat="1" ht="90">
      <c r="A50" s="249" t="s">
        <v>1221</v>
      </c>
      <c r="B50" s="259" t="s">
        <v>1220</v>
      </c>
      <c r="C50" s="260" t="s">
        <v>1219</v>
      </c>
      <c r="D50" s="246">
        <f>30.05608</f>
        <v>30.056080000000001</v>
      </c>
      <c r="E50" s="245" t="s">
        <v>1218</v>
      </c>
    </row>
    <row r="51" spans="1:5" s="238" customFormat="1" ht="60">
      <c r="A51" s="249" t="s">
        <v>1217</v>
      </c>
      <c r="B51" s="259" t="s">
        <v>1216</v>
      </c>
      <c r="C51" s="260" t="s">
        <v>1215</v>
      </c>
      <c r="D51" s="246">
        <f>30+80.274</f>
        <v>110.274</v>
      </c>
      <c r="E51" s="266" t="s">
        <v>1204</v>
      </c>
    </row>
    <row r="52" spans="1:5" s="238" customFormat="1" ht="45">
      <c r="A52" s="249" t="s">
        <v>1214</v>
      </c>
      <c r="B52" s="259" t="s">
        <v>1213</v>
      </c>
      <c r="C52" s="269" t="s">
        <v>1212</v>
      </c>
      <c r="D52" s="268">
        <v>38.804000000000002</v>
      </c>
      <c r="E52" s="270" t="s">
        <v>1211</v>
      </c>
    </row>
    <row r="53" spans="1:5" s="238" customFormat="1" ht="45">
      <c r="A53" s="249" t="s">
        <v>1210</v>
      </c>
      <c r="B53" s="259" t="s">
        <v>1209</v>
      </c>
      <c r="C53" s="269" t="s">
        <v>1208</v>
      </c>
      <c r="D53" s="268">
        <v>22.661999999999999</v>
      </c>
      <c r="E53" s="267" t="s">
        <v>954</v>
      </c>
    </row>
    <row r="54" spans="1:5" s="238" customFormat="1" ht="45">
      <c r="A54" s="249" t="s">
        <v>1207</v>
      </c>
      <c r="B54" s="259" t="s">
        <v>1206</v>
      </c>
      <c r="C54" s="260" t="s">
        <v>1205</v>
      </c>
      <c r="D54" s="246">
        <v>33.503999999999998</v>
      </c>
      <c r="E54" s="266" t="s">
        <v>1204</v>
      </c>
    </row>
    <row r="55" spans="1:5" s="238" customFormat="1" ht="60">
      <c r="A55" s="249" t="s">
        <v>1203</v>
      </c>
      <c r="B55" s="259" t="s">
        <v>1202</v>
      </c>
      <c r="C55" s="260" t="s">
        <v>1201</v>
      </c>
      <c r="D55" s="246">
        <v>27.716999999999999</v>
      </c>
      <c r="E55" s="245" t="s">
        <v>1119</v>
      </c>
    </row>
    <row r="56" spans="1:5" s="238" customFormat="1" ht="60">
      <c r="A56" s="249" t="s">
        <v>1200</v>
      </c>
      <c r="B56" s="259" t="s">
        <v>1199</v>
      </c>
      <c r="C56" s="260" t="s">
        <v>1198</v>
      </c>
      <c r="D56" s="246">
        <v>60.690159999999999</v>
      </c>
      <c r="E56" s="245" t="s">
        <v>1060</v>
      </c>
    </row>
    <row r="57" spans="1:5" s="238" customFormat="1" ht="60">
      <c r="A57" s="249" t="s">
        <v>1197</v>
      </c>
      <c r="B57" s="259" t="s">
        <v>1196</v>
      </c>
      <c r="C57" s="260" t="s">
        <v>1195</v>
      </c>
      <c r="D57" s="246">
        <v>37.634140000000002</v>
      </c>
      <c r="E57" s="245" t="s">
        <v>1060</v>
      </c>
    </row>
    <row r="58" spans="1:5" s="238" customFormat="1" ht="60">
      <c r="A58" s="249" t="s">
        <v>1194</v>
      </c>
      <c r="B58" s="259" t="s">
        <v>1193</v>
      </c>
      <c r="C58" s="260" t="s">
        <v>1192</v>
      </c>
      <c r="D58" s="246">
        <f>19.6572+125.91162</f>
        <v>145.56881999999999</v>
      </c>
      <c r="E58" s="245" t="s">
        <v>1051</v>
      </c>
    </row>
    <row r="59" spans="1:5" s="238" customFormat="1" ht="45">
      <c r="A59" s="249" t="s">
        <v>1191</v>
      </c>
      <c r="B59" s="259" t="s">
        <v>1190</v>
      </c>
      <c r="C59" s="260" t="s">
        <v>1189</v>
      </c>
      <c r="D59" s="246">
        <v>38.804000000000002</v>
      </c>
      <c r="E59" s="249" t="s">
        <v>1188</v>
      </c>
    </row>
    <row r="60" spans="1:5" s="238" customFormat="1" ht="45">
      <c r="A60" s="249" t="s">
        <v>1187</v>
      </c>
      <c r="B60" s="259" t="s">
        <v>1186</v>
      </c>
      <c r="C60" s="260" t="s">
        <v>1185</v>
      </c>
      <c r="D60" s="246">
        <v>38.804000000000002</v>
      </c>
      <c r="E60" s="249" t="s">
        <v>1119</v>
      </c>
    </row>
    <row r="61" spans="1:5" s="238" customFormat="1" ht="45">
      <c r="A61" s="249" t="s">
        <v>1184</v>
      </c>
      <c r="B61" s="259" t="s">
        <v>1183</v>
      </c>
      <c r="C61" s="260" t="s">
        <v>1182</v>
      </c>
      <c r="D61" s="246">
        <v>41.139000000000003</v>
      </c>
      <c r="E61" s="249" t="s">
        <v>1181</v>
      </c>
    </row>
    <row r="62" spans="1:5" s="238" customFormat="1" ht="60">
      <c r="A62" s="251" t="s">
        <v>1180</v>
      </c>
      <c r="B62" s="259" t="s">
        <v>1179</v>
      </c>
      <c r="C62" s="260" t="s">
        <v>1178</v>
      </c>
      <c r="D62" s="246">
        <v>23.1</v>
      </c>
      <c r="E62" s="249" t="s">
        <v>907</v>
      </c>
    </row>
    <row r="63" spans="1:5" s="238" customFormat="1" ht="75">
      <c r="A63" s="251" t="s">
        <v>1175</v>
      </c>
      <c r="B63" s="259" t="s">
        <v>1177</v>
      </c>
      <c r="C63" s="260" t="s">
        <v>1176</v>
      </c>
      <c r="D63" s="246">
        <v>11.9</v>
      </c>
      <c r="E63" s="249" t="s">
        <v>1075</v>
      </c>
    </row>
    <row r="64" spans="1:5" s="238" customFormat="1" ht="60">
      <c r="A64" s="251" t="s">
        <v>1175</v>
      </c>
      <c r="B64" s="259" t="s">
        <v>1174</v>
      </c>
      <c r="C64" s="260" t="s">
        <v>1173</v>
      </c>
      <c r="D64" s="246">
        <v>11.9</v>
      </c>
      <c r="E64" s="265" t="s">
        <v>1075</v>
      </c>
    </row>
    <row r="65" spans="1:5" s="238" customFormat="1" ht="60">
      <c r="A65" s="251" t="s">
        <v>1151</v>
      </c>
      <c r="B65" s="259" t="s">
        <v>1150</v>
      </c>
      <c r="C65" s="260" t="s">
        <v>1172</v>
      </c>
      <c r="D65" s="246">
        <v>11.9</v>
      </c>
      <c r="E65" s="265" t="s">
        <v>1075</v>
      </c>
    </row>
    <row r="66" spans="1:5" s="238" customFormat="1" ht="45">
      <c r="A66" s="251" t="s">
        <v>1171</v>
      </c>
      <c r="B66" s="259" t="s">
        <v>1170</v>
      </c>
      <c r="C66" s="260" t="s">
        <v>1169</v>
      </c>
      <c r="D66" s="246">
        <v>195.5</v>
      </c>
      <c r="E66" s="265" t="s">
        <v>1168</v>
      </c>
    </row>
    <row r="67" spans="1:5" s="238" customFormat="1" ht="45">
      <c r="A67" s="251" t="s">
        <v>1167</v>
      </c>
      <c r="B67" s="259" t="s">
        <v>1166</v>
      </c>
      <c r="C67" s="260" t="s">
        <v>1165</v>
      </c>
      <c r="D67" s="246">
        <v>45.023479999999999</v>
      </c>
      <c r="E67" s="249" t="s">
        <v>1164</v>
      </c>
    </row>
    <row r="68" spans="1:5" s="238" customFormat="1" ht="45">
      <c r="A68" s="251" t="s">
        <v>1163</v>
      </c>
      <c r="B68" s="259" t="s">
        <v>1162</v>
      </c>
      <c r="C68" s="260" t="s">
        <v>1161</v>
      </c>
      <c r="D68" s="246">
        <v>40.677869999999999</v>
      </c>
      <c r="E68" s="249" t="s">
        <v>1060</v>
      </c>
    </row>
    <row r="69" spans="1:5" s="238" customFormat="1" ht="45">
      <c r="A69" s="251" t="s">
        <v>1160</v>
      </c>
      <c r="B69" s="259" t="s">
        <v>1159</v>
      </c>
      <c r="C69" s="260" t="s">
        <v>1158</v>
      </c>
      <c r="D69" s="246">
        <v>38.076000000000001</v>
      </c>
      <c r="E69" s="249" t="s">
        <v>1044</v>
      </c>
    </row>
    <row r="70" spans="1:5" s="238" customFormat="1" ht="45">
      <c r="A70" s="251" t="s">
        <v>1157</v>
      </c>
      <c r="B70" s="259" t="s">
        <v>1156</v>
      </c>
      <c r="C70" s="260" t="s">
        <v>1155</v>
      </c>
      <c r="D70" s="246">
        <v>199.77199999999999</v>
      </c>
      <c r="E70" s="249" t="s">
        <v>1044</v>
      </c>
    </row>
    <row r="71" spans="1:5" s="238" customFormat="1" ht="45">
      <c r="A71" s="249" t="s">
        <v>1154</v>
      </c>
      <c r="B71" s="259" t="s">
        <v>1153</v>
      </c>
      <c r="C71" s="260" t="s">
        <v>1152</v>
      </c>
      <c r="D71" s="246">
        <v>20</v>
      </c>
      <c r="E71" s="249" t="s">
        <v>1119</v>
      </c>
    </row>
    <row r="72" spans="1:5" s="238" customFormat="1" ht="45">
      <c r="A72" s="251" t="s">
        <v>1151</v>
      </c>
      <c r="B72" s="259" t="s">
        <v>1150</v>
      </c>
      <c r="C72" s="260" t="s">
        <v>1149</v>
      </c>
      <c r="D72" s="246">
        <v>41.576000000000001</v>
      </c>
      <c r="E72" s="249" t="s">
        <v>1072</v>
      </c>
    </row>
    <row r="73" spans="1:5" s="238" customFormat="1" ht="45">
      <c r="A73" s="251" t="s">
        <v>1148</v>
      </c>
      <c r="B73" s="259" t="s">
        <v>1147</v>
      </c>
      <c r="C73" s="260" t="s">
        <v>1146</v>
      </c>
      <c r="D73" s="246">
        <v>41.576000000000001</v>
      </c>
      <c r="E73" s="249" t="s">
        <v>1119</v>
      </c>
    </row>
    <row r="74" spans="1:5" s="238" customFormat="1" ht="45">
      <c r="A74" s="251" t="s">
        <v>1145</v>
      </c>
      <c r="B74" s="259" t="s">
        <v>1144</v>
      </c>
      <c r="C74" s="260" t="s">
        <v>1143</v>
      </c>
      <c r="D74" s="246">
        <v>61.736199999999997</v>
      </c>
      <c r="E74" s="264" t="s">
        <v>1142</v>
      </c>
    </row>
    <row r="75" spans="1:5" s="238" customFormat="1" ht="45">
      <c r="A75" s="251" t="s">
        <v>1141</v>
      </c>
      <c r="B75" s="259" t="s">
        <v>1140</v>
      </c>
      <c r="C75" s="260" t="s">
        <v>1139</v>
      </c>
      <c r="D75" s="246">
        <v>76.875</v>
      </c>
      <c r="E75" s="249" t="s">
        <v>1022</v>
      </c>
    </row>
    <row r="76" spans="1:5" s="238" customFormat="1" ht="75">
      <c r="A76" s="251" t="s">
        <v>1137</v>
      </c>
      <c r="B76" s="259" t="s">
        <v>1136</v>
      </c>
      <c r="C76" s="260" t="s">
        <v>1138</v>
      </c>
      <c r="D76" s="246">
        <v>36</v>
      </c>
      <c r="E76" s="249" t="s">
        <v>1044</v>
      </c>
    </row>
    <row r="77" spans="1:5" s="238" customFormat="1" ht="90">
      <c r="A77" s="251" t="s">
        <v>1137</v>
      </c>
      <c r="B77" s="259" t="s">
        <v>1136</v>
      </c>
      <c r="C77" s="260" t="s">
        <v>1135</v>
      </c>
      <c r="D77" s="246">
        <v>11.993259999999999</v>
      </c>
      <c r="E77" s="249" t="s">
        <v>1044</v>
      </c>
    </row>
    <row r="78" spans="1:5" s="238" customFormat="1" ht="60">
      <c r="A78" s="251" t="s">
        <v>1134</v>
      </c>
      <c r="B78" s="259" t="s">
        <v>1133</v>
      </c>
      <c r="C78" s="244" t="s">
        <v>1132</v>
      </c>
      <c r="D78" s="246">
        <v>51.928710000000002</v>
      </c>
      <c r="E78" s="249" t="s">
        <v>1131</v>
      </c>
    </row>
    <row r="79" spans="1:5" s="238" customFormat="1" ht="60">
      <c r="A79" s="249" t="s">
        <v>1109</v>
      </c>
      <c r="B79" s="259" t="s">
        <v>1108</v>
      </c>
      <c r="C79" s="260" t="s">
        <v>1130</v>
      </c>
      <c r="D79" s="246">
        <v>12.912000000000001</v>
      </c>
      <c r="E79" s="249" t="s">
        <v>1072</v>
      </c>
    </row>
    <row r="80" spans="1:5" s="238" customFormat="1" ht="60">
      <c r="A80" s="264" t="s">
        <v>1128</v>
      </c>
      <c r="B80" s="259" t="s">
        <v>1127</v>
      </c>
      <c r="C80" s="260" t="s">
        <v>1129</v>
      </c>
      <c r="D80" s="246">
        <f>40</f>
        <v>40</v>
      </c>
      <c r="E80" s="249" t="s">
        <v>1072</v>
      </c>
    </row>
    <row r="81" spans="1:5" s="238" customFormat="1" ht="30">
      <c r="A81" s="264" t="s">
        <v>1128</v>
      </c>
      <c r="B81" s="259" t="s">
        <v>1127</v>
      </c>
      <c r="C81" s="260" t="s">
        <v>1126</v>
      </c>
      <c r="D81" s="246">
        <v>15.582800000000001</v>
      </c>
      <c r="E81" s="249" t="s">
        <v>1072</v>
      </c>
    </row>
    <row r="82" spans="1:5" s="238" customFormat="1" ht="45">
      <c r="A82" s="249" t="s">
        <v>1125</v>
      </c>
      <c r="B82" s="259" t="s">
        <v>1124</v>
      </c>
      <c r="C82" s="260" t="s">
        <v>1123</v>
      </c>
      <c r="D82" s="246">
        <v>27.716449999999998</v>
      </c>
      <c r="E82" s="249" t="s">
        <v>1060</v>
      </c>
    </row>
    <row r="83" spans="1:5" s="238" customFormat="1" ht="75">
      <c r="A83" s="249" t="s">
        <v>1122</v>
      </c>
      <c r="B83" s="259" t="s">
        <v>1121</v>
      </c>
      <c r="C83" s="260" t="s">
        <v>1120</v>
      </c>
      <c r="D83" s="246">
        <v>22.3</v>
      </c>
      <c r="E83" s="249" t="s">
        <v>1119</v>
      </c>
    </row>
    <row r="84" spans="1:5" s="238" customFormat="1" ht="135">
      <c r="A84" s="263" t="s">
        <v>1118</v>
      </c>
      <c r="B84" s="262" t="s">
        <v>1117</v>
      </c>
      <c r="C84" s="258" t="s">
        <v>1116</v>
      </c>
      <c r="D84" s="246">
        <v>12.19</v>
      </c>
      <c r="E84" s="249" t="s">
        <v>1079</v>
      </c>
    </row>
    <row r="85" spans="1:5" s="238" customFormat="1" ht="45">
      <c r="A85" s="261" t="s">
        <v>1115</v>
      </c>
      <c r="B85" s="251" t="s">
        <v>1114</v>
      </c>
      <c r="C85" s="258" t="s">
        <v>1113</v>
      </c>
      <c r="D85" s="246">
        <v>51.364409999999999</v>
      </c>
      <c r="E85" s="249" t="s">
        <v>1068</v>
      </c>
    </row>
    <row r="86" spans="1:5" s="238" customFormat="1" ht="45">
      <c r="A86" s="261" t="s">
        <v>1112</v>
      </c>
      <c r="B86" s="251" t="s">
        <v>1111</v>
      </c>
      <c r="C86" s="258" t="s">
        <v>1110</v>
      </c>
      <c r="D86" s="246">
        <v>29.813479999999998</v>
      </c>
      <c r="E86" s="249" t="s">
        <v>1068</v>
      </c>
    </row>
    <row r="87" spans="1:5" s="238" customFormat="1" ht="60">
      <c r="A87" s="249" t="s">
        <v>1109</v>
      </c>
      <c r="B87" s="259" t="s">
        <v>1108</v>
      </c>
      <c r="C87" s="257" t="s">
        <v>1107</v>
      </c>
      <c r="D87" s="246">
        <v>19.090399999999999</v>
      </c>
      <c r="E87" s="249" t="s">
        <v>1072</v>
      </c>
    </row>
    <row r="88" spans="1:5" s="238" customFormat="1" ht="75">
      <c r="A88" s="261" t="s">
        <v>1106</v>
      </c>
      <c r="B88" s="251" t="s">
        <v>1105</v>
      </c>
      <c r="C88" s="257" t="s">
        <v>1104</v>
      </c>
      <c r="D88" s="246">
        <v>15</v>
      </c>
      <c r="E88" s="249" t="s">
        <v>1044</v>
      </c>
    </row>
    <row r="89" spans="1:5" s="238" customFormat="1" ht="75">
      <c r="A89" s="249" t="s">
        <v>1103</v>
      </c>
      <c r="B89" s="251" t="s">
        <v>1102</v>
      </c>
      <c r="C89" s="257" t="s">
        <v>1101</v>
      </c>
      <c r="D89" s="246">
        <v>11.9</v>
      </c>
      <c r="E89" s="249" t="s">
        <v>1075</v>
      </c>
    </row>
    <row r="90" spans="1:5" s="238" customFormat="1" ht="75">
      <c r="A90" s="249" t="s">
        <v>1100</v>
      </c>
      <c r="B90" s="251" t="s">
        <v>1099</v>
      </c>
      <c r="C90" s="257" t="s">
        <v>1098</v>
      </c>
      <c r="D90" s="246">
        <v>11.9</v>
      </c>
      <c r="E90" s="249" t="s">
        <v>1075</v>
      </c>
    </row>
    <row r="91" spans="1:5" s="238" customFormat="1" ht="75">
      <c r="A91" s="249" t="s">
        <v>1097</v>
      </c>
      <c r="B91" s="251" t="s">
        <v>1096</v>
      </c>
      <c r="C91" s="257" t="s">
        <v>1095</v>
      </c>
      <c r="D91" s="246">
        <v>17.067160000000001</v>
      </c>
      <c r="E91" s="249" t="s">
        <v>1068</v>
      </c>
    </row>
    <row r="92" spans="1:5" s="238" customFormat="1" ht="75">
      <c r="A92" s="249" t="s">
        <v>1094</v>
      </c>
      <c r="B92" s="251" t="s">
        <v>1093</v>
      </c>
      <c r="C92" s="257" t="s">
        <v>1092</v>
      </c>
      <c r="D92" s="246">
        <v>49.783000000000001</v>
      </c>
      <c r="E92" s="249" t="s">
        <v>1044</v>
      </c>
    </row>
    <row r="93" spans="1:5" s="238" customFormat="1" ht="75">
      <c r="A93" s="249" t="s">
        <v>1091</v>
      </c>
      <c r="B93" s="251" t="s">
        <v>1090</v>
      </c>
      <c r="C93" s="257" t="s">
        <v>1089</v>
      </c>
      <c r="D93" s="246">
        <v>12.414999999999999</v>
      </c>
      <c r="E93" s="249" t="s">
        <v>1079</v>
      </c>
    </row>
    <row r="94" spans="1:5" s="238" customFormat="1" ht="75">
      <c r="A94" s="249" t="s">
        <v>1088</v>
      </c>
      <c r="B94" s="251" t="s">
        <v>1087</v>
      </c>
      <c r="C94" s="257" t="s">
        <v>1086</v>
      </c>
      <c r="D94" s="246">
        <v>14.936999999999999</v>
      </c>
      <c r="E94" s="249" t="s">
        <v>1079</v>
      </c>
    </row>
    <row r="95" spans="1:5" s="238" customFormat="1" ht="75">
      <c r="A95" s="249" t="s">
        <v>1085</v>
      </c>
      <c r="B95" s="251" t="s">
        <v>1084</v>
      </c>
      <c r="C95" s="257" t="s">
        <v>1083</v>
      </c>
      <c r="D95" s="246">
        <v>12.048</v>
      </c>
      <c r="E95" s="249" t="s">
        <v>1079</v>
      </c>
    </row>
    <row r="96" spans="1:5" s="238" customFormat="1" ht="75">
      <c r="A96" s="249" t="s">
        <v>1082</v>
      </c>
      <c r="B96" s="251" t="s">
        <v>1081</v>
      </c>
      <c r="C96" s="257" t="s">
        <v>1080</v>
      </c>
      <c r="D96" s="246">
        <v>12.504</v>
      </c>
      <c r="E96" s="249" t="s">
        <v>1079</v>
      </c>
    </row>
    <row r="97" spans="1:5" s="238" customFormat="1" ht="90">
      <c r="A97" s="249" t="s">
        <v>1078</v>
      </c>
      <c r="B97" s="251" t="s">
        <v>1077</v>
      </c>
      <c r="C97" s="257" t="s">
        <v>1076</v>
      </c>
      <c r="D97" s="246">
        <v>23.798999999999999</v>
      </c>
      <c r="E97" s="249" t="s">
        <v>1075</v>
      </c>
    </row>
    <row r="98" spans="1:5" s="238" customFormat="1" ht="75">
      <c r="A98" s="251" t="s">
        <v>1074</v>
      </c>
      <c r="B98" s="251" t="s">
        <v>898</v>
      </c>
      <c r="C98" s="260" t="s">
        <v>1073</v>
      </c>
      <c r="D98" s="246">
        <v>11.455</v>
      </c>
      <c r="E98" s="249" t="s">
        <v>1072</v>
      </c>
    </row>
    <row r="99" spans="1:5" s="238" customFormat="1" ht="60">
      <c r="A99" s="249" t="s">
        <v>1071</v>
      </c>
      <c r="B99" s="259" t="s">
        <v>1070</v>
      </c>
      <c r="C99" s="258" t="s">
        <v>1069</v>
      </c>
      <c r="D99" s="246">
        <v>14.955</v>
      </c>
      <c r="E99" s="249" t="s">
        <v>1068</v>
      </c>
    </row>
    <row r="100" spans="1:5" s="238" customFormat="1" ht="60">
      <c r="A100" s="249" t="s">
        <v>1067</v>
      </c>
      <c r="B100" s="259" t="s">
        <v>1066</v>
      </c>
      <c r="C100" s="258" t="s">
        <v>1065</v>
      </c>
      <c r="D100" s="246">
        <v>37.397621000000001</v>
      </c>
      <c r="E100" s="249" t="s">
        <v>1060</v>
      </c>
    </row>
    <row r="101" spans="1:5" s="238" customFormat="1" ht="75">
      <c r="A101" s="249" t="s">
        <v>1058</v>
      </c>
      <c r="B101" s="251" t="s">
        <v>1057</v>
      </c>
      <c r="C101" s="257" t="s">
        <v>1064</v>
      </c>
      <c r="D101" s="246">
        <v>41.38</v>
      </c>
      <c r="E101" s="249" t="s">
        <v>1044</v>
      </c>
    </row>
    <row r="102" spans="1:5" s="238" customFormat="1" ht="75">
      <c r="A102" s="249" t="s">
        <v>1063</v>
      </c>
      <c r="B102" s="251" t="s">
        <v>1062</v>
      </c>
      <c r="C102" s="257" t="s">
        <v>1061</v>
      </c>
      <c r="D102" s="246">
        <v>92.98348</v>
      </c>
      <c r="E102" s="249" t="s">
        <v>1060</v>
      </c>
    </row>
    <row r="103" spans="1:5" s="238" customFormat="1" ht="75">
      <c r="A103" s="249" t="s">
        <v>1047</v>
      </c>
      <c r="B103" s="251" t="s">
        <v>1046</v>
      </c>
      <c r="C103" s="257" t="s">
        <v>1059</v>
      </c>
      <c r="D103" s="246">
        <v>11.993259999999999</v>
      </c>
      <c r="E103" s="249" t="s">
        <v>1044</v>
      </c>
    </row>
    <row r="104" spans="1:5" s="238" customFormat="1" ht="75">
      <c r="A104" s="249" t="s">
        <v>1058</v>
      </c>
      <c r="B104" s="251" t="s">
        <v>1057</v>
      </c>
      <c r="C104" s="257" t="s">
        <v>1056</v>
      </c>
      <c r="D104" s="246">
        <v>114.78708</v>
      </c>
      <c r="E104" s="249" t="s">
        <v>1055</v>
      </c>
    </row>
    <row r="105" spans="1:5" s="238" customFormat="1" ht="75">
      <c r="A105" s="249" t="s">
        <v>1054</v>
      </c>
      <c r="B105" s="251" t="s">
        <v>1053</v>
      </c>
      <c r="C105" s="257" t="s">
        <v>1052</v>
      </c>
      <c r="D105" s="246">
        <v>29.9496</v>
      </c>
      <c r="E105" s="249" t="s">
        <v>1051</v>
      </c>
    </row>
    <row r="106" spans="1:5" s="238" customFormat="1" ht="60">
      <c r="A106" s="249" t="s">
        <v>1050</v>
      </c>
      <c r="B106" s="251" t="s">
        <v>1049</v>
      </c>
      <c r="C106" s="257" t="s">
        <v>1048</v>
      </c>
      <c r="D106" s="246">
        <v>11.993259999999999</v>
      </c>
      <c r="E106" s="249" t="s">
        <v>1044</v>
      </c>
    </row>
    <row r="107" spans="1:5" s="238" customFormat="1" ht="75">
      <c r="A107" s="249" t="s">
        <v>1047</v>
      </c>
      <c r="B107" s="251" t="s">
        <v>1046</v>
      </c>
      <c r="C107" s="257" t="s">
        <v>1045</v>
      </c>
      <c r="D107" s="246">
        <v>52.6</v>
      </c>
      <c r="E107" s="249" t="s">
        <v>1044</v>
      </c>
    </row>
    <row r="108" spans="1:5" s="238" customFormat="1" ht="45">
      <c r="A108" s="249" t="s">
        <v>1043</v>
      </c>
      <c r="B108" s="248" t="s">
        <v>1042</v>
      </c>
      <c r="C108" s="247" t="s">
        <v>1041</v>
      </c>
      <c r="D108" s="246">
        <v>52.6</v>
      </c>
      <c r="E108" s="245" t="s">
        <v>1040</v>
      </c>
    </row>
    <row r="109" spans="1:5" s="238" customFormat="1" ht="30">
      <c r="A109" s="249" t="s">
        <v>1039</v>
      </c>
      <c r="B109" s="248" t="s">
        <v>1038</v>
      </c>
      <c r="C109" s="247" t="s">
        <v>1037</v>
      </c>
      <c r="D109" s="246">
        <v>34.851999999999997</v>
      </c>
      <c r="E109" s="245" t="s">
        <v>1036</v>
      </c>
    </row>
    <row r="110" spans="1:5" s="238" customFormat="1" ht="45">
      <c r="A110" s="249" t="s">
        <v>1035</v>
      </c>
      <c r="B110" s="248" t="s">
        <v>1034</v>
      </c>
      <c r="C110" s="247" t="s">
        <v>1033</v>
      </c>
      <c r="D110" s="246">
        <v>29.916</v>
      </c>
      <c r="E110" s="245" t="s">
        <v>1032</v>
      </c>
    </row>
    <row r="111" spans="1:5" s="238" customFormat="1" ht="45">
      <c r="A111" s="249" t="s">
        <v>1029</v>
      </c>
      <c r="B111" s="255" t="s">
        <v>1028</v>
      </c>
      <c r="C111" s="247" t="s">
        <v>1031</v>
      </c>
      <c r="D111" s="256">
        <v>8.43</v>
      </c>
      <c r="E111" s="245" t="s">
        <v>1030</v>
      </c>
    </row>
    <row r="112" spans="1:5" s="238" customFormat="1" ht="45">
      <c r="A112" s="249" t="s">
        <v>1029</v>
      </c>
      <c r="B112" s="255" t="s">
        <v>1028</v>
      </c>
      <c r="C112" s="254" t="s">
        <v>1027</v>
      </c>
      <c r="D112" s="253">
        <v>31.183</v>
      </c>
      <c r="E112" s="252" t="s">
        <v>1026</v>
      </c>
    </row>
    <row r="113" spans="1:5" s="238" customFormat="1" ht="45">
      <c r="A113" s="251" t="s">
        <v>1025</v>
      </c>
      <c r="B113" s="248" t="s">
        <v>1024</v>
      </c>
      <c r="C113" s="250" t="s">
        <v>1023</v>
      </c>
      <c r="D113" s="246">
        <v>30</v>
      </c>
      <c r="E113" s="245" t="s">
        <v>1022</v>
      </c>
    </row>
    <row r="114" spans="1:5" s="238" customFormat="1" ht="45">
      <c r="A114" s="249" t="s">
        <v>1021</v>
      </c>
      <c r="B114" s="248" t="s">
        <v>1020</v>
      </c>
      <c r="C114" s="247" t="s">
        <v>1019</v>
      </c>
      <c r="D114" s="246">
        <v>32</v>
      </c>
      <c r="E114" s="245" t="s">
        <v>1018</v>
      </c>
    </row>
    <row r="115" spans="1:5" s="238" customFormat="1" ht="45">
      <c r="A115" s="249" t="s">
        <v>1017</v>
      </c>
      <c r="B115" s="248" t="s">
        <v>1016</v>
      </c>
      <c r="C115" s="247" t="s">
        <v>1015</v>
      </c>
      <c r="D115" s="246">
        <v>38.448</v>
      </c>
      <c r="E115" s="245" t="s">
        <v>1014</v>
      </c>
    </row>
    <row r="116" spans="1:5" s="238" customFormat="1" ht="105">
      <c r="A116" s="237" t="s">
        <v>1013</v>
      </c>
      <c r="B116" s="243" t="s">
        <v>1012</v>
      </c>
      <c r="C116" s="244" t="s">
        <v>1011</v>
      </c>
      <c r="D116" s="240">
        <v>58.546999999999997</v>
      </c>
      <c r="E116" s="239" t="s">
        <v>1010</v>
      </c>
    </row>
    <row r="117" spans="1:5" s="238" customFormat="1" ht="45">
      <c r="A117" s="237" t="s">
        <v>1009</v>
      </c>
      <c r="B117" s="242" t="s">
        <v>1008</v>
      </c>
      <c r="C117" s="241" t="s">
        <v>1007</v>
      </c>
      <c r="D117" s="240">
        <v>18.376000000000001</v>
      </c>
      <c r="E117" s="239" t="s">
        <v>1006</v>
      </c>
    </row>
    <row r="118" spans="1:5" s="238" customFormat="1" ht="45">
      <c r="A118" s="237" t="s">
        <v>1005</v>
      </c>
      <c r="B118" s="243" t="s">
        <v>1004</v>
      </c>
      <c r="C118" s="241" t="s">
        <v>1003</v>
      </c>
      <c r="D118" s="240">
        <v>49.841000000000001</v>
      </c>
      <c r="E118" s="239" t="s">
        <v>1002</v>
      </c>
    </row>
    <row r="119" spans="1:5" s="238" customFormat="1" ht="30">
      <c r="A119" s="237" t="s">
        <v>1001</v>
      </c>
      <c r="B119" s="243" t="s">
        <v>1000</v>
      </c>
      <c r="C119" s="241" t="s">
        <v>999</v>
      </c>
      <c r="D119" s="240">
        <v>14.693</v>
      </c>
      <c r="E119" s="239" t="s">
        <v>998</v>
      </c>
    </row>
    <row r="120" spans="1:5" s="238" customFormat="1" ht="45">
      <c r="A120" s="237" t="s">
        <v>997</v>
      </c>
      <c r="B120" s="242" t="s">
        <v>996</v>
      </c>
      <c r="C120" s="241" t="s">
        <v>995</v>
      </c>
      <c r="D120" s="240">
        <v>51.2</v>
      </c>
      <c r="E120" s="239" t="s">
        <v>994</v>
      </c>
    </row>
    <row r="121" spans="1:5" s="232" customFormat="1">
      <c r="A121" s="237"/>
      <c r="B121" s="236" t="s">
        <v>1</v>
      </c>
      <c r="C121" s="235" t="s">
        <v>0</v>
      </c>
      <c r="D121" s="234">
        <f>SUM(D11:D120)</f>
        <v>4739.5684900000015</v>
      </c>
      <c r="E121" s="233" t="s">
        <v>0</v>
      </c>
    </row>
    <row r="122" spans="1:5">
      <c r="A122" s="231" t="s">
        <v>993</v>
      </c>
      <c r="B122" s="231"/>
      <c r="C122" s="231"/>
      <c r="D122" s="231"/>
      <c r="E122" s="231"/>
    </row>
    <row r="123" spans="1:5" ht="45">
      <c r="A123" s="172" t="s">
        <v>992</v>
      </c>
      <c r="B123" s="172" t="s">
        <v>991</v>
      </c>
      <c r="C123" s="229" t="s">
        <v>987</v>
      </c>
      <c r="D123" s="230">
        <v>24.204999999999998</v>
      </c>
      <c r="E123" s="229" t="s">
        <v>990</v>
      </c>
    </row>
    <row r="124" spans="1:5" ht="60">
      <c r="A124" s="83" t="s">
        <v>989</v>
      </c>
      <c r="B124" s="172" t="s">
        <v>988</v>
      </c>
      <c r="C124" s="229" t="s">
        <v>987</v>
      </c>
      <c r="D124" s="228">
        <v>49.95</v>
      </c>
      <c r="E124" s="227" t="s">
        <v>986</v>
      </c>
    </row>
    <row r="125" spans="1:5">
      <c r="A125" s="145"/>
      <c r="B125" s="145" t="s">
        <v>1</v>
      </c>
      <c r="C125" s="225" t="s">
        <v>0</v>
      </c>
      <c r="D125" s="226">
        <f>SUM(D123:D124)</f>
        <v>74.155000000000001</v>
      </c>
      <c r="E125" s="225" t="s">
        <v>0</v>
      </c>
    </row>
    <row r="126" spans="1:5">
      <c r="A126" s="224" t="s">
        <v>985</v>
      </c>
      <c r="B126" s="223"/>
      <c r="C126" s="223"/>
      <c r="D126" s="223"/>
      <c r="E126" s="222"/>
    </row>
    <row r="127" spans="1:5">
      <c r="A127" s="78"/>
      <c r="B127" s="78"/>
      <c r="C127" s="78"/>
      <c r="D127" s="78"/>
      <c r="E127" s="78"/>
    </row>
    <row r="128" spans="1:5" ht="75">
      <c r="A128" s="78" t="s">
        <v>984</v>
      </c>
      <c r="B128" s="221" t="s">
        <v>983</v>
      </c>
      <c r="C128" s="220" t="s">
        <v>982</v>
      </c>
      <c r="D128" s="219" t="s">
        <v>981</v>
      </c>
      <c r="E128" s="218" t="s">
        <v>980</v>
      </c>
    </row>
    <row r="129" spans="1:5">
      <c r="A129" s="217"/>
      <c r="B129" s="145" t="s">
        <v>1</v>
      </c>
      <c r="C129" s="2" t="s">
        <v>0</v>
      </c>
      <c r="D129" s="216" t="str">
        <f>D128</f>
        <v>35,519</v>
      </c>
      <c r="E129" s="215" t="s">
        <v>0</v>
      </c>
    </row>
    <row r="130" spans="1:5" s="207" customFormat="1">
      <c r="A130" s="214" t="s">
        <v>979</v>
      </c>
      <c r="B130" s="214"/>
      <c r="C130" s="214"/>
      <c r="D130" s="214"/>
      <c r="E130" s="214"/>
    </row>
    <row r="131" spans="1:5" s="130" customFormat="1" ht="75">
      <c r="A131" s="213" t="s">
        <v>978</v>
      </c>
      <c r="B131" s="212" t="s">
        <v>977</v>
      </c>
      <c r="C131" s="211" t="s">
        <v>976</v>
      </c>
      <c r="D131" s="210">
        <v>199.99860000000001</v>
      </c>
      <c r="E131" s="209" t="s">
        <v>975</v>
      </c>
    </row>
    <row r="132" spans="1:5" s="207" customFormat="1">
      <c r="A132" s="131"/>
      <c r="B132" s="145" t="s">
        <v>1</v>
      </c>
      <c r="C132" s="2" t="s">
        <v>0</v>
      </c>
      <c r="D132" s="208">
        <f>SUM(D131)</f>
        <v>199.99860000000001</v>
      </c>
      <c r="E132" s="2" t="s">
        <v>0</v>
      </c>
    </row>
    <row r="133" spans="1:5">
      <c r="A133" s="206" t="s">
        <v>974</v>
      </c>
      <c r="B133" s="206"/>
      <c r="C133" s="206"/>
      <c r="D133" s="206"/>
      <c r="E133" s="206"/>
    </row>
    <row r="134" spans="1:5" ht="105">
      <c r="A134" s="83" t="s">
        <v>971</v>
      </c>
      <c r="B134" s="83" t="s">
        <v>965</v>
      </c>
      <c r="C134" s="83" t="s">
        <v>973</v>
      </c>
      <c r="D134" s="205">
        <v>6.3040000000000003</v>
      </c>
      <c r="E134" s="83" t="s">
        <v>963</v>
      </c>
    </row>
    <row r="135" spans="1:5" ht="105">
      <c r="A135" s="83" t="s">
        <v>969</v>
      </c>
      <c r="B135" s="83" t="s">
        <v>965</v>
      </c>
      <c r="C135" s="83" t="s">
        <v>972</v>
      </c>
      <c r="D135" s="205">
        <v>30.713000000000001</v>
      </c>
      <c r="E135" s="83" t="s">
        <v>963</v>
      </c>
    </row>
    <row r="136" spans="1:5" ht="105">
      <c r="A136" s="83" t="s">
        <v>971</v>
      </c>
      <c r="B136" s="83" t="s">
        <v>965</v>
      </c>
      <c r="C136" s="83" t="s">
        <v>970</v>
      </c>
      <c r="D136" s="205">
        <v>47.841999999999999</v>
      </c>
      <c r="E136" s="83" t="s">
        <v>963</v>
      </c>
    </row>
    <row r="137" spans="1:5" ht="105">
      <c r="A137" s="83" t="s">
        <v>969</v>
      </c>
      <c r="B137" s="83" t="s">
        <v>965</v>
      </c>
      <c r="C137" s="83" t="s">
        <v>968</v>
      </c>
      <c r="D137" s="205">
        <v>6.3040000000000003</v>
      </c>
      <c r="E137" s="83" t="s">
        <v>963</v>
      </c>
    </row>
    <row r="138" spans="1:5" ht="105">
      <c r="A138" s="83" t="s">
        <v>966</v>
      </c>
      <c r="B138" s="83" t="s">
        <v>965</v>
      </c>
      <c r="C138" s="83" t="s">
        <v>967</v>
      </c>
      <c r="D138" s="205">
        <v>6.3040000000000003</v>
      </c>
      <c r="E138" s="83" t="s">
        <v>963</v>
      </c>
    </row>
    <row r="139" spans="1:5" ht="105">
      <c r="A139" s="83" t="s">
        <v>966</v>
      </c>
      <c r="B139" s="83" t="s">
        <v>965</v>
      </c>
      <c r="C139" s="83" t="s">
        <v>964</v>
      </c>
      <c r="D139" s="205">
        <v>38.945999999999998</v>
      </c>
      <c r="E139" s="83" t="s">
        <v>963</v>
      </c>
    </row>
    <row r="140" spans="1:5" ht="60">
      <c r="A140" s="106" t="s">
        <v>962</v>
      </c>
      <c r="B140" s="83" t="s">
        <v>959</v>
      </c>
      <c r="C140" s="83" t="s">
        <v>961</v>
      </c>
      <c r="D140" s="205">
        <v>97.47</v>
      </c>
      <c r="E140" s="83" t="s">
        <v>939</v>
      </c>
    </row>
    <row r="141" spans="1:5" ht="90">
      <c r="A141" s="83" t="s">
        <v>960</v>
      </c>
      <c r="B141" s="83" t="s">
        <v>959</v>
      </c>
      <c r="C141" s="83" t="s">
        <v>958</v>
      </c>
      <c r="D141" s="205">
        <v>4</v>
      </c>
      <c r="E141" s="83" t="s">
        <v>957</v>
      </c>
    </row>
    <row r="142" spans="1:5" ht="105">
      <c r="A142" s="83" t="s">
        <v>953</v>
      </c>
      <c r="B142" s="83" t="s">
        <v>952</v>
      </c>
      <c r="C142" s="83" t="s">
        <v>956</v>
      </c>
      <c r="D142" s="205">
        <v>133.02799999999999</v>
      </c>
      <c r="E142" s="83" t="s">
        <v>954</v>
      </c>
    </row>
    <row r="143" spans="1:5" ht="75">
      <c r="A143" s="83" t="s">
        <v>953</v>
      </c>
      <c r="B143" s="83" t="s">
        <v>952</v>
      </c>
      <c r="C143" s="83" t="s">
        <v>955</v>
      </c>
      <c r="D143" s="205">
        <v>188.32499999999999</v>
      </c>
      <c r="E143" s="83" t="s">
        <v>954</v>
      </c>
    </row>
    <row r="144" spans="1:5" ht="90">
      <c r="A144" s="83" t="s">
        <v>953</v>
      </c>
      <c r="B144" s="83" t="s">
        <v>952</v>
      </c>
      <c r="C144" s="83" t="s">
        <v>951</v>
      </c>
      <c r="D144" s="205">
        <v>39.789000000000001</v>
      </c>
      <c r="E144" s="83" t="s">
        <v>950</v>
      </c>
    </row>
    <row r="145" spans="1:5" ht="90">
      <c r="A145" s="83" t="s">
        <v>949</v>
      </c>
      <c r="B145" s="83" t="s">
        <v>933</v>
      </c>
      <c r="C145" s="83" t="s">
        <v>948</v>
      </c>
      <c r="D145" s="205">
        <v>4.5</v>
      </c>
      <c r="E145" s="83" t="s">
        <v>896</v>
      </c>
    </row>
    <row r="146" spans="1:5" ht="105">
      <c r="A146" s="83" t="s">
        <v>946</v>
      </c>
      <c r="B146" s="83" t="s">
        <v>933</v>
      </c>
      <c r="C146" s="83" t="s">
        <v>947</v>
      </c>
      <c r="D146" s="205">
        <v>9.5090000000000003</v>
      </c>
      <c r="E146" s="83" t="s">
        <v>896</v>
      </c>
    </row>
    <row r="147" spans="1:5" ht="105">
      <c r="A147" s="83" t="s">
        <v>946</v>
      </c>
      <c r="B147" s="83" t="s">
        <v>933</v>
      </c>
      <c r="C147" s="83" t="s">
        <v>945</v>
      </c>
      <c r="D147" s="205">
        <v>86.100999999999999</v>
      </c>
      <c r="E147" s="83" t="s">
        <v>896</v>
      </c>
    </row>
    <row r="148" spans="1:5" ht="75">
      <c r="A148" s="83" t="s">
        <v>943</v>
      </c>
      <c r="B148" s="83" t="s">
        <v>933</v>
      </c>
      <c r="C148" s="83" t="s">
        <v>944</v>
      </c>
      <c r="D148" s="205">
        <v>151.95599999999999</v>
      </c>
      <c r="E148" s="83" t="s">
        <v>941</v>
      </c>
    </row>
    <row r="149" spans="1:5" ht="75">
      <c r="A149" s="83" t="s">
        <v>943</v>
      </c>
      <c r="B149" s="83" t="s">
        <v>933</v>
      </c>
      <c r="C149" s="83" t="s">
        <v>944</v>
      </c>
      <c r="D149" s="205">
        <v>3.64</v>
      </c>
      <c r="E149" s="83" t="s">
        <v>941</v>
      </c>
    </row>
    <row r="150" spans="1:5" ht="105">
      <c r="A150" s="83" t="s">
        <v>943</v>
      </c>
      <c r="B150" s="83" t="s">
        <v>933</v>
      </c>
      <c r="C150" s="83" t="s">
        <v>942</v>
      </c>
      <c r="D150" s="205">
        <v>13.193</v>
      </c>
      <c r="E150" s="83" t="s">
        <v>941</v>
      </c>
    </row>
    <row r="151" spans="1:5" ht="105">
      <c r="A151" s="83" t="s">
        <v>943</v>
      </c>
      <c r="B151" s="83" t="s">
        <v>933</v>
      </c>
      <c r="C151" s="83" t="s">
        <v>942</v>
      </c>
      <c r="D151" s="205">
        <v>133.5</v>
      </c>
      <c r="E151" s="83" t="s">
        <v>941</v>
      </c>
    </row>
    <row r="152" spans="1:5" ht="90">
      <c r="A152" s="83" t="s">
        <v>938</v>
      </c>
      <c r="B152" s="83" t="s">
        <v>933</v>
      </c>
      <c r="C152" s="83" t="s">
        <v>940</v>
      </c>
      <c r="D152" s="205">
        <v>199.465</v>
      </c>
      <c r="E152" s="83" t="s">
        <v>939</v>
      </c>
    </row>
    <row r="153" spans="1:5" ht="105">
      <c r="A153" s="83" t="s">
        <v>938</v>
      </c>
      <c r="B153" s="83" t="s">
        <v>933</v>
      </c>
      <c r="C153" s="83" t="s">
        <v>937</v>
      </c>
      <c r="D153" s="205">
        <v>57.902999999999999</v>
      </c>
      <c r="E153" s="83" t="s">
        <v>935</v>
      </c>
    </row>
    <row r="154" spans="1:5" ht="105">
      <c r="A154" s="83" t="s">
        <v>934</v>
      </c>
      <c r="B154" s="83" t="s">
        <v>933</v>
      </c>
      <c r="C154" s="83" t="s">
        <v>936</v>
      </c>
      <c r="D154" s="205">
        <v>137.84</v>
      </c>
      <c r="E154" s="83" t="s">
        <v>935</v>
      </c>
    </row>
    <row r="155" spans="1:5" ht="75">
      <c r="A155" s="83" t="s">
        <v>934</v>
      </c>
      <c r="B155" s="83" t="s">
        <v>933</v>
      </c>
      <c r="C155" s="83" t="s">
        <v>932</v>
      </c>
      <c r="D155" s="205">
        <v>62</v>
      </c>
      <c r="E155" s="83" t="s">
        <v>931</v>
      </c>
    </row>
    <row r="156" spans="1:5" ht="60">
      <c r="A156" s="83" t="s">
        <v>930</v>
      </c>
      <c r="B156" s="75" t="s">
        <v>925</v>
      </c>
      <c r="C156" s="83" t="s">
        <v>929</v>
      </c>
      <c r="D156" s="205">
        <v>18.001999999999999</v>
      </c>
      <c r="E156" s="83" t="s">
        <v>928</v>
      </c>
    </row>
    <row r="157" spans="1:5" ht="45">
      <c r="A157" s="83" t="s">
        <v>926</v>
      </c>
      <c r="B157" s="75" t="s">
        <v>925</v>
      </c>
      <c r="C157" s="83" t="s">
        <v>927</v>
      </c>
      <c r="D157" s="205">
        <v>47</v>
      </c>
      <c r="E157" s="83" t="s">
        <v>923</v>
      </c>
    </row>
    <row r="158" spans="1:5" ht="60">
      <c r="A158" s="83" t="s">
        <v>926</v>
      </c>
      <c r="B158" s="75" t="s">
        <v>925</v>
      </c>
      <c r="C158" s="83" t="s">
        <v>924</v>
      </c>
      <c r="D158" s="205">
        <v>47.999000000000002</v>
      </c>
      <c r="E158" s="83" t="s">
        <v>923</v>
      </c>
    </row>
    <row r="159" spans="1:5" ht="90">
      <c r="A159" s="83" t="s">
        <v>922</v>
      </c>
      <c r="B159" s="75" t="s">
        <v>921</v>
      </c>
      <c r="C159" s="83" t="s">
        <v>920</v>
      </c>
      <c r="D159" s="205">
        <v>5.6840000000000002</v>
      </c>
      <c r="E159" s="83" t="s">
        <v>919</v>
      </c>
    </row>
    <row r="160" spans="1:5" ht="90">
      <c r="A160" s="83" t="s">
        <v>916</v>
      </c>
      <c r="B160" s="75" t="s">
        <v>905</v>
      </c>
      <c r="C160" s="83" t="s">
        <v>918</v>
      </c>
      <c r="D160" s="205">
        <v>57.271999999999998</v>
      </c>
      <c r="E160" s="83" t="s">
        <v>917</v>
      </c>
    </row>
    <row r="161" spans="1:5" ht="75">
      <c r="A161" s="83" t="s">
        <v>916</v>
      </c>
      <c r="B161" s="75" t="s">
        <v>905</v>
      </c>
      <c r="C161" s="83" t="s">
        <v>915</v>
      </c>
      <c r="D161" s="205">
        <v>18.126000000000001</v>
      </c>
      <c r="E161" s="83" t="s">
        <v>896</v>
      </c>
    </row>
    <row r="162" spans="1:5" ht="90">
      <c r="A162" s="83" t="s">
        <v>910</v>
      </c>
      <c r="B162" s="75" t="s">
        <v>909</v>
      </c>
      <c r="C162" s="83" t="s">
        <v>914</v>
      </c>
      <c r="D162" s="205">
        <v>199.90700000000001</v>
      </c>
      <c r="E162" s="83" t="s">
        <v>913</v>
      </c>
    </row>
    <row r="163" spans="1:5" ht="90">
      <c r="A163" s="83" t="s">
        <v>910</v>
      </c>
      <c r="B163" s="75" t="s">
        <v>909</v>
      </c>
      <c r="C163" s="83" t="s">
        <v>912</v>
      </c>
      <c r="D163" s="205">
        <v>53.664999999999999</v>
      </c>
      <c r="E163" s="83" t="s">
        <v>911</v>
      </c>
    </row>
    <row r="164" spans="1:5" ht="105">
      <c r="A164" s="83" t="s">
        <v>910</v>
      </c>
      <c r="B164" s="75" t="s">
        <v>909</v>
      </c>
      <c r="C164" s="83" t="s">
        <v>908</v>
      </c>
      <c r="D164" s="205">
        <v>6.62</v>
      </c>
      <c r="E164" s="83" t="s">
        <v>907</v>
      </c>
    </row>
    <row r="165" spans="1:5" ht="75">
      <c r="A165" s="83" t="s">
        <v>906</v>
      </c>
      <c r="B165" s="75" t="s">
        <v>905</v>
      </c>
      <c r="C165" s="83" t="s">
        <v>904</v>
      </c>
      <c r="D165" s="205">
        <v>9.5790000000000006</v>
      </c>
      <c r="E165" s="83" t="s">
        <v>896</v>
      </c>
    </row>
    <row r="166" spans="1:5" ht="105">
      <c r="A166" s="83" t="s">
        <v>899</v>
      </c>
      <c r="B166" s="83" t="s">
        <v>898</v>
      </c>
      <c r="C166" s="83" t="s">
        <v>903</v>
      </c>
      <c r="D166" s="205">
        <v>117.976</v>
      </c>
      <c r="E166" s="83" t="s">
        <v>902</v>
      </c>
    </row>
    <row r="167" spans="1:5" ht="120">
      <c r="A167" s="83" t="s">
        <v>899</v>
      </c>
      <c r="B167" s="83" t="s">
        <v>898</v>
      </c>
      <c r="C167" s="83" t="s">
        <v>901</v>
      </c>
      <c r="D167" s="205">
        <v>12.5</v>
      </c>
      <c r="E167" s="83" t="s">
        <v>896</v>
      </c>
    </row>
    <row r="168" spans="1:5" ht="105">
      <c r="A168" s="83" t="s">
        <v>899</v>
      </c>
      <c r="B168" s="83" t="s">
        <v>898</v>
      </c>
      <c r="C168" s="83" t="s">
        <v>900</v>
      </c>
      <c r="D168" s="205">
        <v>8.5609999999999999</v>
      </c>
      <c r="E168" s="83" t="s">
        <v>896</v>
      </c>
    </row>
    <row r="169" spans="1:5" ht="120">
      <c r="A169" s="83" t="s">
        <v>899</v>
      </c>
      <c r="B169" s="83" t="s">
        <v>898</v>
      </c>
      <c r="C169" s="83" t="s">
        <v>897</v>
      </c>
      <c r="D169" s="205">
        <v>8.3290000000000006</v>
      </c>
      <c r="E169" s="83" t="s">
        <v>896</v>
      </c>
    </row>
    <row r="170" spans="1:5" ht="45">
      <c r="A170" s="83" t="s">
        <v>893</v>
      </c>
      <c r="B170" s="83" t="s">
        <v>892</v>
      </c>
      <c r="C170" s="83" t="s">
        <v>895</v>
      </c>
      <c r="D170" s="205">
        <v>189.96600000000001</v>
      </c>
      <c r="E170" s="83" t="s">
        <v>894</v>
      </c>
    </row>
    <row r="171" spans="1:5" ht="45">
      <c r="A171" s="83" t="s">
        <v>893</v>
      </c>
      <c r="B171" s="83" t="s">
        <v>892</v>
      </c>
      <c r="C171" s="83" t="s">
        <v>891</v>
      </c>
      <c r="D171" s="205">
        <v>140.52099999999999</v>
      </c>
      <c r="E171" s="83" t="s">
        <v>890</v>
      </c>
    </row>
    <row r="172" spans="1:5">
      <c r="A172" s="204"/>
      <c r="B172" s="145" t="s">
        <v>1</v>
      </c>
      <c r="C172" s="2" t="s">
        <v>0</v>
      </c>
      <c r="D172" s="203">
        <f>SUM(D134:D171)</f>
        <v>2400.3389999999999</v>
      </c>
      <c r="E172" s="2" t="s">
        <v>0</v>
      </c>
    </row>
    <row r="173" spans="1:5">
      <c r="A173" s="88" t="s">
        <v>889</v>
      </c>
      <c r="B173" s="87"/>
      <c r="C173" s="87"/>
      <c r="D173" s="87"/>
      <c r="E173" s="86"/>
    </row>
    <row r="174" spans="1:5">
      <c r="A174" s="78"/>
      <c r="B174" s="159">
        <v>1216030</v>
      </c>
      <c r="C174" s="78"/>
      <c r="D174" s="202"/>
      <c r="E174" s="78"/>
    </row>
    <row r="175" spans="1:5" ht="150">
      <c r="A175" s="150" t="s">
        <v>814</v>
      </c>
      <c r="B175" s="149" t="s">
        <v>888</v>
      </c>
      <c r="C175" s="150" t="s">
        <v>780</v>
      </c>
      <c r="D175" s="201">
        <v>895.23800000000006</v>
      </c>
      <c r="E175" s="149" t="s">
        <v>887</v>
      </c>
    </row>
    <row r="176" spans="1:5" ht="120">
      <c r="A176" s="150" t="s">
        <v>814</v>
      </c>
      <c r="B176" s="198" t="s">
        <v>886</v>
      </c>
      <c r="C176" s="198" t="s">
        <v>885</v>
      </c>
      <c r="D176" s="199">
        <v>199.91399999999999</v>
      </c>
      <c r="E176" s="198" t="s">
        <v>440</v>
      </c>
    </row>
    <row r="177" spans="1:5" ht="30">
      <c r="A177" s="150" t="s">
        <v>814</v>
      </c>
      <c r="B177" s="198" t="s">
        <v>884</v>
      </c>
      <c r="C177" s="198" t="s">
        <v>880</v>
      </c>
      <c r="D177" s="199">
        <v>112.083</v>
      </c>
      <c r="E177" s="198" t="s">
        <v>873</v>
      </c>
    </row>
    <row r="178" spans="1:5" ht="45">
      <c r="A178" s="150" t="s">
        <v>814</v>
      </c>
      <c r="B178" s="198" t="s">
        <v>883</v>
      </c>
      <c r="C178" s="198" t="s">
        <v>880</v>
      </c>
      <c r="D178" s="199">
        <v>196.23400000000001</v>
      </c>
      <c r="E178" s="198" t="s">
        <v>873</v>
      </c>
    </row>
    <row r="179" spans="1:5">
      <c r="A179" s="150" t="s">
        <v>814</v>
      </c>
      <c r="B179" s="198" t="s">
        <v>882</v>
      </c>
      <c r="C179" s="198" t="s">
        <v>880</v>
      </c>
      <c r="D179" s="199">
        <v>159.614</v>
      </c>
      <c r="E179" s="198" t="s">
        <v>873</v>
      </c>
    </row>
    <row r="180" spans="1:5">
      <c r="A180" s="150" t="s">
        <v>814</v>
      </c>
      <c r="B180" s="198" t="s">
        <v>881</v>
      </c>
      <c r="C180" s="198" t="s">
        <v>880</v>
      </c>
      <c r="D180" s="199">
        <v>4.9560000000000004</v>
      </c>
      <c r="E180" s="198" t="s">
        <v>873</v>
      </c>
    </row>
    <row r="181" spans="1:5" ht="150">
      <c r="A181" s="150" t="s">
        <v>814</v>
      </c>
      <c r="B181" s="198" t="s">
        <v>879</v>
      </c>
      <c r="C181" s="198" t="s">
        <v>878</v>
      </c>
      <c r="D181" s="199">
        <v>181.274</v>
      </c>
      <c r="E181" s="198" t="s">
        <v>873</v>
      </c>
    </row>
    <row r="182" spans="1:5" ht="165">
      <c r="A182" s="150" t="s">
        <v>814</v>
      </c>
      <c r="B182" s="198" t="s">
        <v>877</v>
      </c>
      <c r="C182" s="198" t="s">
        <v>876</v>
      </c>
      <c r="D182" s="199">
        <v>179.547</v>
      </c>
      <c r="E182" s="198" t="s">
        <v>873</v>
      </c>
    </row>
    <row r="183" spans="1:5" ht="60">
      <c r="A183" s="150" t="s">
        <v>814</v>
      </c>
      <c r="B183" s="200" t="s">
        <v>875</v>
      </c>
      <c r="C183" s="198" t="s">
        <v>874</v>
      </c>
      <c r="D183" s="199">
        <v>96.477999999999994</v>
      </c>
      <c r="E183" s="198" t="s">
        <v>873</v>
      </c>
    </row>
    <row r="184" spans="1:5">
      <c r="A184" s="150" t="s">
        <v>814</v>
      </c>
      <c r="B184" s="200" t="s">
        <v>872</v>
      </c>
      <c r="C184" s="198" t="s">
        <v>743</v>
      </c>
      <c r="D184" s="199">
        <v>196.459</v>
      </c>
      <c r="E184" s="198" t="s">
        <v>866</v>
      </c>
    </row>
    <row r="185" spans="1:5">
      <c r="A185" s="150" t="s">
        <v>814</v>
      </c>
      <c r="B185" s="200" t="s">
        <v>871</v>
      </c>
      <c r="C185" s="198" t="s">
        <v>743</v>
      </c>
      <c r="D185" s="199">
        <v>187.64500000000001</v>
      </c>
      <c r="E185" s="198" t="s">
        <v>866</v>
      </c>
    </row>
    <row r="186" spans="1:5" ht="30">
      <c r="A186" s="150" t="s">
        <v>814</v>
      </c>
      <c r="B186" s="200" t="s">
        <v>870</v>
      </c>
      <c r="C186" s="198" t="s">
        <v>869</v>
      </c>
      <c r="D186" s="199">
        <v>12.124000000000001</v>
      </c>
      <c r="E186" s="198" t="s">
        <v>866</v>
      </c>
    </row>
    <row r="187" spans="1:5">
      <c r="A187" s="150" t="s">
        <v>814</v>
      </c>
      <c r="B187" s="200" t="s">
        <v>747</v>
      </c>
      <c r="C187" s="198" t="s">
        <v>743</v>
      </c>
      <c r="D187" s="199">
        <v>196.08799999999999</v>
      </c>
      <c r="E187" s="198" t="s">
        <v>866</v>
      </c>
    </row>
    <row r="188" spans="1:5" ht="45">
      <c r="A188" s="150" t="s">
        <v>814</v>
      </c>
      <c r="B188" s="200" t="s">
        <v>868</v>
      </c>
      <c r="C188" s="198" t="s">
        <v>867</v>
      </c>
      <c r="D188" s="199">
        <v>130.11000000000001</v>
      </c>
      <c r="E188" s="198" t="s">
        <v>866</v>
      </c>
    </row>
    <row r="189" spans="1:5" ht="30">
      <c r="A189" s="150" t="s">
        <v>814</v>
      </c>
      <c r="B189" s="200" t="s">
        <v>865</v>
      </c>
      <c r="C189" s="198" t="s">
        <v>864</v>
      </c>
      <c r="D189" s="199">
        <v>102.827</v>
      </c>
      <c r="E189" s="198" t="s">
        <v>863</v>
      </c>
    </row>
    <row r="190" spans="1:5" ht="165">
      <c r="A190" s="150" t="s">
        <v>814</v>
      </c>
      <c r="B190" s="200" t="s">
        <v>862</v>
      </c>
      <c r="C190" s="198" t="s">
        <v>861</v>
      </c>
      <c r="D190" s="199">
        <v>119.006</v>
      </c>
      <c r="E190" s="198" t="s">
        <v>858</v>
      </c>
    </row>
    <row r="191" spans="1:5" ht="165">
      <c r="A191" s="150" t="s">
        <v>814</v>
      </c>
      <c r="B191" s="200" t="s">
        <v>860</v>
      </c>
      <c r="C191" s="198" t="s">
        <v>859</v>
      </c>
      <c r="D191" s="199">
        <v>148.989</v>
      </c>
      <c r="E191" s="198" t="s">
        <v>858</v>
      </c>
    </row>
    <row r="192" spans="1:5" ht="75">
      <c r="A192" s="150" t="s">
        <v>391</v>
      </c>
      <c r="B192" s="150" t="s">
        <v>857</v>
      </c>
      <c r="C192" s="150" t="s">
        <v>856</v>
      </c>
      <c r="D192" s="197">
        <f>0.001*105669</f>
        <v>105.669</v>
      </c>
      <c r="E192" s="194" t="s">
        <v>845</v>
      </c>
    </row>
    <row r="193" spans="1:5" ht="60">
      <c r="A193" s="150" t="s">
        <v>391</v>
      </c>
      <c r="B193" s="150" t="s">
        <v>855</v>
      </c>
      <c r="C193" s="150" t="s">
        <v>854</v>
      </c>
      <c r="D193" s="197">
        <v>199.81700000000001</v>
      </c>
      <c r="E193" s="194" t="s">
        <v>845</v>
      </c>
    </row>
    <row r="194" spans="1:5" ht="135">
      <c r="A194" s="150" t="s">
        <v>853</v>
      </c>
      <c r="B194" s="150" t="s">
        <v>852</v>
      </c>
      <c r="C194" s="198" t="s">
        <v>851</v>
      </c>
      <c r="D194" s="197">
        <v>181.57</v>
      </c>
      <c r="E194" s="194" t="s">
        <v>845</v>
      </c>
    </row>
    <row r="195" spans="1:5" ht="180">
      <c r="A195" s="150" t="s">
        <v>848</v>
      </c>
      <c r="B195" s="150" t="s">
        <v>850</v>
      </c>
      <c r="C195" s="198" t="s">
        <v>849</v>
      </c>
      <c r="D195" s="197">
        <v>138.74799999999999</v>
      </c>
      <c r="E195" s="194" t="s">
        <v>845</v>
      </c>
    </row>
    <row r="196" spans="1:5" ht="120">
      <c r="A196" s="150" t="s">
        <v>848</v>
      </c>
      <c r="B196" s="150" t="s">
        <v>847</v>
      </c>
      <c r="C196" s="150" t="s">
        <v>846</v>
      </c>
      <c r="D196" s="195">
        <f>(50699.25+43706.25+36713.25)*0.001</f>
        <v>131.11875000000001</v>
      </c>
      <c r="E196" s="194" t="s">
        <v>845</v>
      </c>
    </row>
    <row r="197" spans="1:5" ht="135">
      <c r="A197" s="150" t="s">
        <v>391</v>
      </c>
      <c r="B197" s="150" t="s">
        <v>391</v>
      </c>
      <c r="C197" s="150" t="s">
        <v>844</v>
      </c>
      <c r="D197" s="195">
        <v>397.00299999999999</v>
      </c>
      <c r="E197" s="194" t="s">
        <v>836</v>
      </c>
    </row>
    <row r="198" spans="1:5" ht="135">
      <c r="A198" s="150" t="s">
        <v>391</v>
      </c>
      <c r="B198" s="150" t="s">
        <v>784</v>
      </c>
      <c r="C198" s="150" t="s">
        <v>843</v>
      </c>
      <c r="D198" s="195">
        <v>56.655000000000001</v>
      </c>
      <c r="E198" s="194" t="s">
        <v>836</v>
      </c>
    </row>
    <row r="199" spans="1:5" ht="120">
      <c r="A199" s="150" t="s">
        <v>391</v>
      </c>
      <c r="B199" s="150" t="s">
        <v>842</v>
      </c>
      <c r="C199" s="150" t="s">
        <v>841</v>
      </c>
      <c r="D199" s="195">
        <v>85.3</v>
      </c>
      <c r="E199" s="194" t="s">
        <v>836</v>
      </c>
    </row>
    <row r="200" spans="1:5" ht="120">
      <c r="A200" s="150" t="s">
        <v>391</v>
      </c>
      <c r="B200" s="150" t="s">
        <v>842</v>
      </c>
      <c r="C200" s="150" t="s">
        <v>841</v>
      </c>
      <c r="D200" s="195">
        <v>656.36500000000001</v>
      </c>
      <c r="E200" s="194" t="s">
        <v>836</v>
      </c>
    </row>
    <row r="201" spans="1:5" ht="105">
      <c r="A201" s="150" t="s">
        <v>391</v>
      </c>
      <c r="B201" s="150" t="s">
        <v>840</v>
      </c>
      <c r="C201" s="150" t="s">
        <v>839</v>
      </c>
      <c r="D201" s="195">
        <v>27.373000000000001</v>
      </c>
      <c r="E201" s="194" t="s">
        <v>836</v>
      </c>
    </row>
    <row r="202" spans="1:5" ht="105">
      <c r="A202" s="150" t="s">
        <v>391</v>
      </c>
      <c r="B202" s="150" t="s">
        <v>840</v>
      </c>
      <c r="C202" s="150" t="s">
        <v>839</v>
      </c>
      <c r="D202" s="195">
        <v>226.49799999999999</v>
      </c>
      <c r="E202" s="194" t="s">
        <v>836</v>
      </c>
    </row>
    <row r="203" spans="1:5" ht="105">
      <c r="A203" s="150" t="s">
        <v>391</v>
      </c>
      <c r="B203" s="150" t="s">
        <v>838</v>
      </c>
      <c r="C203" s="150" t="s">
        <v>837</v>
      </c>
      <c r="D203" s="195">
        <v>101.495</v>
      </c>
      <c r="E203" s="194" t="s">
        <v>836</v>
      </c>
    </row>
    <row r="204" spans="1:5" ht="105">
      <c r="A204" s="150" t="s">
        <v>391</v>
      </c>
      <c r="B204" s="150" t="s">
        <v>838</v>
      </c>
      <c r="C204" s="150" t="s">
        <v>837</v>
      </c>
      <c r="D204" s="195">
        <f>163.334+(92229.64+53719.56+51707.46+40187.46+52519.56+2137.2+36460.84+39820.84+1424.8)/1000</f>
        <v>533.54135999999994</v>
      </c>
      <c r="E204" s="194" t="s">
        <v>836</v>
      </c>
    </row>
    <row r="205" spans="1:5" ht="30">
      <c r="A205" s="150" t="s">
        <v>814</v>
      </c>
      <c r="B205" s="150" t="s">
        <v>835</v>
      </c>
      <c r="C205" s="150" t="s">
        <v>834</v>
      </c>
      <c r="D205" s="195">
        <v>264.95999999999998</v>
      </c>
      <c r="E205" s="150" t="s">
        <v>831</v>
      </c>
    </row>
    <row r="206" spans="1:5" ht="30">
      <c r="A206" s="150" t="s">
        <v>391</v>
      </c>
      <c r="B206" s="150" t="s">
        <v>833</v>
      </c>
      <c r="C206" s="150" t="s">
        <v>832</v>
      </c>
      <c r="D206" s="195">
        <v>264.95999999999998</v>
      </c>
      <c r="E206" s="150" t="s">
        <v>831</v>
      </c>
    </row>
    <row r="207" spans="1:5" ht="45">
      <c r="A207" s="150" t="s">
        <v>391</v>
      </c>
      <c r="B207" s="150" t="s">
        <v>391</v>
      </c>
      <c r="C207" s="150" t="s">
        <v>830</v>
      </c>
      <c r="D207" s="195">
        <v>111.652</v>
      </c>
      <c r="E207" s="194" t="s">
        <v>829</v>
      </c>
    </row>
    <row r="208" spans="1:5" ht="75">
      <c r="A208" s="150" t="s">
        <v>391</v>
      </c>
      <c r="B208" s="150" t="s">
        <v>828</v>
      </c>
      <c r="C208" s="150" t="s">
        <v>827</v>
      </c>
      <c r="D208" s="195">
        <f>130.805+65.483</f>
        <v>196.28800000000001</v>
      </c>
      <c r="E208" s="194" t="s">
        <v>826</v>
      </c>
    </row>
    <row r="209" spans="1:5" ht="120">
      <c r="A209" s="150" t="s">
        <v>391</v>
      </c>
      <c r="B209" s="150" t="s">
        <v>825</v>
      </c>
      <c r="C209" s="150" t="s">
        <v>824</v>
      </c>
      <c r="D209" s="195">
        <v>959.68299999999999</v>
      </c>
      <c r="E209" s="194" t="s">
        <v>805</v>
      </c>
    </row>
    <row r="210" spans="1:5" ht="120">
      <c r="A210" s="150" t="s">
        <v>391</v>
      </c>
      <c r="B210" s="150" t="s">
        <v>785</v>
      </c>
      <c r="C210" s="150" t="s">
        <v>823</v>
      </c>
      <c r="D210" s="195">
        <v>31.454000000000001</v>
      </c>
      <c r="E210" s="194" t="s">
        <v>805</v>
      </c>
    </row>
    <row r="211" spans="1:5" ht="75">
      <c r="A211" s="150" t="s">
        <v>391</v>
      </c>
      <c r="B211" s="150" t="s">
        <v>822</v>
      </c>
      <c r="C211" s="150" t="s">
        <v>783</v>
      </c>
      <c r="D211" s="195">
        <v>58.555</v>
      </c>
      <c r="E211" s="194" t="s">
        <v>805</v>
      </c>
    </row>
    <row r="212" spans="1:5" ht="75">
      <c r="A212" s="150" t="s">
        <v>391</v>
      </c>
      <c r="B212" s="150" t="s">
        <v>821</v>
      </c>
      <c r="C212" s="150" t="s">
        <v>783</v>
      </c>
      <c r="D212" s="195">
        <v>28.405000000000001</v>
      </c>
      <c r="E212" s="194" t="s">
        <v>805</v>
      </c>
    </row>
    <row r="213" spans="1:5" ht="105">
      <c r="A213" s="150" t="s">
        <v>391</v>
      </c>
      <c r="B213" s="150" t="s">
        <v>820</v>
      </c>
      <c r="C213" s="150" t="s">
        <v>819</v>
      </c>
      <c r="D213" s="195">
        <v>153.91399999999999</v>
      </c>
      <c r="E213" s="194" t="s">
        <v>805</v>
      </c>
    </row>
    <row r="214" spans="1:5" ht="75">
      <c r="A214" s="150" t="s">
        <v>391</v>
      </c>
      <c r="B214" s="150" t="s">
        <v>818</v>
      </c>
      <c r="C214" s="150" t="s">
        <v>783</v>
      </c>
      <c r="D214" s="195">
        <v>137.518</v>
      </c>
      <c r="E214" s="194" t="s">
        <v>805</v>
      </c>
    </row>
    <row r="215" spans="1:5" ht="75">
      <c r="A215" s="150" t="s">
        <v>814</v>
      </c>
      <c r="B215" s="150" t="s">
        <v>817</v>
      </c>
      <c r="C215" s="150" t="s">
        <v>783</v>
      </c>
      <c r="D215" s="195">
        <v>111.089</v>
      </c>
      <c r="E215" s="194" t="s">
        <v>805</v>
      </c>
    </row>
    <row r="216" spans="1:5" ht="285">
      <c r="A216" s="150" t="s">
        <v>814</v>
      </c>
      <c r="B216" s="150" t="s">
        <v>816</v>
      </c>
      <c r="C216" s="150" t="s">
        <v>815</v>
      </c>
      <c r="D216" s="195">
        <v>891.68399999999997</v>
      </c>
      <c r="E216" s="194" t="s">
        <v>805</v>
      </c>
    </row>
    <row r="217" spans="1:5" ht="315">
      <c r="A217" s="150" t="s">
        <v>814</v>
      </c>
      <c r="B217" s="150" t="s">
        <v>813</v>
      </c>
      <c r="C217" s="150" t="s">
        <v>812</v>
      </c>
      <c r="D217" s="195">
        <v>1755.4079999999999</v>
      </c>
      <c r="E217" s="194" t="s">
        <v>805</v>
      </c>
    </row>
    <row r="218" spans="1:5" ht="165">
      <c r="A218" s="150" t="s">
        <v>391</v>
      </c>
      <c r="B218" s="150" t="s">
        <v>811</v>
      </c>
      <c r="C218" s="150" t="s">
        <v>810</v>
      </c>
      <c r="D218" s="195">
        <v>40.119250000000001</v>
      </c>
      <c r="E218" s="194" t="s">
        <v>805</v>
      </c>
    </row>
    <row r="219" spans="1:5" ht="225">
      <c r="A219" s="150" t="s">
        <v>391</v>
      </c>
      <c r="B219" s="150" t="s">
        <v>809</v>
      </c>
      <c r="C219" s="150" t="s">
        <v>808</v>
      </c>
      <c r="D219" s="195">
        <v>71.762420000000006</v>
      </c>
      <c r="E219" s="194" t="s">
        <v>805</v>
      </c>
    </row>
    <row r="220" spans="1:5" ht="150">
      <c r="A220" s="150" t="s">
        <v>391</v>
      </c>
      <c r="B220" s="150" t="s">
        <v>795</v>
      </c>
      <c r="C220" s="150" t="s">
        <v>807</v>
      </c>
      <c r="D220" s="195">
        <v>768.18299999999999</v>
      </c>
      <c r="E220" s="194" t="s">
        <v>805</v>
      </c>
    </row>
    <row r="221" spans="1:5" ht="165">
      <c r="A221" s="150" t="s">
        <v>391</v>
      </c>
      <c r="B221" s="150" t="s">
        <v>781</v>
      </c>
      <c r="C221" s="150" t="s">
        <v>806</v>
      </c>
      <c r="D221" s="195">
        <v>59.003999999999998</v>
      </c>
      <c r="E221" s="194" t="s">
        <v>805</v>
      </c>
    </row>
    <row r="222" spans="1:5" ht="105">
      <c r="A222" s="150" t="s">
        <v>391</v>
      </c>
      <c r="B222" s="150" t="s">
        <v>799</v>
      </c>
      <c r="C222" s="150" t="s">
        <v>804</v>
      </c>
      <c r="D222" s="195">
        <v>197.58699999999999</v>
      </c>
      <c r="E222" s="194" t="s">
        <v>800</v>
      </c>
    </row>
    <row r="223" spans="1:5" ht="135">
      <c r="A223" s="150" t="s">
        <v>391</v>
      </c>
      <c r="B223" s="150" t="s">
        <v>799</v>
      </c>
      <c r="C223" s="150" t="s">
        <v>803</v>
      </c>
      <c r="D223" s="195">
        <f>(404283.99+319425.63+268936.06+230564.26+194142.63+283756.34)/1000</f>
        <v>1701.1089099999999</v>
      </c>
      <c r="E223" s="194" t="s">
        <v>800</v>
      </c>
    </row>
    <row r="224" spans="1:5" ht="120">
      <c r="A224" s="150" t="s">
        <v>391</v>
      </c>
      <c r="B224" s="150" t="s">
        <v>799</v>
      </c>
      <c r="C224" s="150" t="s">
        <v>802</v>
      </c>
      <c r="D224" s="195">
        <v>96.691000000000003</v>
      </c>
      <c r="E224" s="194" t="s">
        <v>800</v>
      </c>
    </row>
    <row r="225" spans="1:5" ht="135">
      <c r="A225" s="150" t="s">
        <v>391</v>
      </c>
      <c r="B225" s="150" t="s">
        <v>799</v>
      </c>
      <c r="C225" s="150" t="s">
        <v>801</v>
      </c>
      <c r="D225" s="195">
        <v>198.59200000000001</v>
      </c>
      <c r="E225" s="194" t="s">
        <v>800</v>
      </c>
    </row>
    <row r="226" spans="1:5" ht="150">
      <c r="A226" s="150" t="s">
        <v>391</v>
      </c>
      <c r="B226" s="150" t="s">
        <v>787</v>
      </c>
      <c r="C226" s="150" t="s">
        <v>798</v>
      </c>
      <c r="D226" s="195">
        <v>195.75800000000001</v>
      </c>
      <c r="E226" s="194" t="s">
        <v>793</v>
      </c>
    </row>
    <row r="227" spans="1:5" ht="150">
      <c r="A227" s="150" t="s">
        <v>391</v>
      </c>
      <c r="B227" s="150" t="s">
        <v>799</v>
      </c>
      <c r="C227" s="150" t="s">
        <v>798</v>
      </c>
      <c r="D227" s="195">
        <v>204.89400000000001</v>
      </c>
      <c r="E227" s="194" t="s">
        <v>793</v>
      </c>
    </row>
    <row r="228" spans="1:5" ht="105">
      <c r="A228" s="150" t="s">
        <v>391</v>
      </c>
      <c r="B228" s="150" t="s">
        <v>797</v>
      </c>
      <c r="C228" s="150" t="s">
        <v>796</v>
      </c>
      <c r="D228" s="195">
        <v>325.67700000000002</v>
      </c>
      <c r="E228" s="194" t="s">
        <v>793</v>
      </c>
    </row>
    <row r="229" spans="1:5" ht="150">
      <c r="A229" s="150" t="s">
        <v>391</v>
      </c>
      <c r="B229" s="150" t="s">
        <v>795</v>
      </c>
      <c r="C229" s="150" t="s">
        <v>794</v>
      </c>
      <c r="D229" s="195">
        <v>98.742000000000004</v>
      </c>
      <c r="E229" s="194" t="s">
        <v>793</v>
      </c>
    </row>
    <row r="230" spans="1:5" ht="45">
      <c r="A230" s="150" t="s">
        <v>391</v>
      </c>
      <c r="B230" s="150" t="s">
        <v>391</v>
      </c>
      <c r="C230" s="150" t="s">
        <v>792</v>
      </c>
      <c r="D230" s="195">
        <f>(94.32+94.32+94.32)/1000</f>
        <v>0.28295999999999999</v>
      </c>
      <c r="E230" s="194" t="s">
        <v>790</v>
      </c>
    </row>
    <row r="231" spans="1:5">
      <c r="A231" s="150" t="s">
        <v>391</v>
      </c>
      <c r="B231" s="150" t="s">
        <v>391</v>
      </c>
      <c r="C231" s="194" t="s">
        <v>791</v>
      </c>
      <c r="D231" s="195">
        <f>27.307+(5452.5+5452.5+5452.5)/1000</f>
        <v>43.664500000000004</v>
      </c>
      <c r="E231" s="194" t="s">
        <v>790</v>
      </c>
    </row>
    <row r="232" spans="1:5">
      <c r="A232" s="150" t="s">
        <v>391</v>
      </c>
      <c r="B232" s="150" t="s">
        <v>391</v>
      </c>
      <c r="C232" s="194" t="s">
        <v>789</v>
      </c>
      <c r="D232" s="195">
        <v>59.583350000000003</v>
      </c>
      <c r="E232" s="194" t="s">
        <v>788</v>
      </c>
    </row>
    <row r="233" spans="1:5" ht="150">
      <c r="A233" s="150" t="s">
        <v>391</v>
      </c>
      <c r="B233" s="150" t="s">
        <v>781</v>
      </c>
      <c r="C233" s="150" t="s">
        <v>780</v>
      </c>
      <c r="D233" s="195">
        <f>(116326.94+104683.28+42093.94+131264.34+90137.58+71888.96)/1000</f>
        <v>556.39503999999999</v>
      </c>
      <c r="E233" s="194" t="s">
        <v>777</v>
      </c>
    </row>
    <row r="234" spans="1:5" ht="150">
      <c r="A234" s="150" t="s">
        <v>391</v>
      </c>
      <c r="B234" s="150" t="s">
        <v>787</v>
      </c>
      <c r="C234" s="150" t="s">
        <v>782</v>
      </c>
      <c r="D234" s="195">
        <f>162.036+(107333.78+49373.81+48748.2+36593.61+66355.3+90245.4+89057.32+63517.2)/1000</f>
        <v>713.26062000000002</v>
      </c>
      <c r="E234" s="194" t="s">
        <v>777</v>
      </c>
    </row>
    <row r="235" spans="1:5" ht="75">
      <c r="A235" s="150" t="s">
        <v>391</v>
      </c>
      <c r="B235" s="150" t="s">
        <v>786</v>
      </c>
      <c r="C235" s="150" t="s">
        <v>783</v>
      </c>
      <c r="D235" s="195">
        <f>29.882+(35085.84+211061.39+127915.8+133995.52+91195.8+281323.33+127915.8+120211.8)/1000</f>
        <v>1158.5872800000004</v>
      </c>
      <c r="E235" s="194" t="s">
        <v>777</v>
      </c>
    </row>
    <row r="236" spans="1:5" ht="75">
      <c r="A236" s="150" t="s">
        <v>391</v>
      </c>
      <c r="B236" s="150" t="s">
        <v>785</v>
      </c>
      <c r="C236" s="150" t="s">
        <v>783</v>
      </c>
      <c r="D236" s="195">
        <f>65.095+(12148.8+6517.44+14144.22+47906.05+32967.65+13538.8+21478.8+20626.8)/1000</f>
        <v>234.42356000000001</v>
      </c>
      <c r="E236" s="194" t="s">
        <v>777</v>
      </c>
    </row>
    <row r="237" spans="1:5" ht="75">
      <c r="A237" s="150" t="s">
        <v>391</v>
      </c>
      <c r="B237" s="150" t="s">
        <v>784</v>
      </c>
      <c r="C237" s="150" t="s">
        <v>783</v>
      </c>
      <c r="D237" s="195">
        <f>100.002+(27578.25+9432.15+20211.75+21559.2+32143.25+40039.2+32531.75)/1000</f>
        <v>283.49754999999999</v>
      </c>
      <c r="E237" s="194" t="s">
        <v>777</v>
      </c>
    </row>
    <row r="238" spans="1:5" ht="150">
      <c r="A238" s="150" t="s">
        <v>391</v>
      </c>
      <c r="B238" s="150" t="s">
        <v>781</v>
      </c>
      <c r="C238" s="150" t="s">
        <v>782</v>
      </c>
      <c r="D238" s="195">
        <f>43.727+(28127.68+23487.88+31760+24360+10979.6)/1000</f>
        <v>162.44216</v>
      </c>
      <c r="E238" s="194" t="s">
        <v>777</v>
      </c>
    </row>
    <row r="239" spans="1:5" ht="150">
      <c r="A239" s="150" t="s">
        <v>391</v>
      </c>
      <c r="B239" s="150" t="s">
        <v>781</v>
      </c>
      <c r="C239" s="150" t="s">
        <v>780</v>
      </c>
      <c r="D239" s="195">
        <f>491.623+(75191.49+34351.24)/1000</f>
        <v>601.16572999999994</v>
      </c>
      <c r="E239" s="194" t="s">
        <v>777</v>
      </c>
    </row>
    <row r="240" spans="1:5" ht="30">
      <c r="A240" s="150" t="s">
        <v>391</v>
      </c>
      <c r="B240" s="196" t="s">
        <v>779</v>
      </c>
      <c r="C240" s="194" t="s">
        <v>778</v>
      </c>
      <c r="D240" s="195">
        <v>28.521999999999998</v>
      </c>
      <c r="E240" s="194" t="s">
        <v>777</v>
      </c>
    </row>
    <row r="241" spans="1:5" ht="30">
      <c r="A241" s="150" t="s">
        <v>391</v>
      </c>
      <c r="B241" s="150" t="s">
        <v>391</v>
      </c>
      <c r="C241" s="150" t="s">
        <v>776</v>
      </c>
      <c r="D241" s="195">
        <f>(21989.1+15087.91+33714.64)/1000</f>
        <v>70.79164999999999</v>
      </c>
      <c r="E241" s="194" t="s">
        <v>775</v>
      </c>
    </row>
    <row r="242" spans="1:5" ht="30">
      <c r="A242" s="150" t="s">
        <v>391</v>
      </c>
      <c r="B242" s="150" t="s">
        <v>391</v>
      </c>
      <c r="C242" s="150" t="s">
        <v>774</v>
      </c>
      <c r="D242" s="195">
        <f>13.698+34.416+34.41887+20.575</f>
        <v>103.10787000000001</v>
      </c>
      <c r="E242" s="150" t="s">
        <v>773</v>
      </c>
    </row>
    <row r="243" spans="1:5" ht="30">
      <c r="A243" s="150" t="s">
        <v>391</v>
      </c>
      <c r="B243" s="150" t="s">
        <v>391</v>
      </c>
      <c r="C243" s="150" t="s">
        <v>774</v>
      </c>
      <c r="D243" s="195">
        <f>0.84319+0.5736+0.5736+1.45694+0.837</f>
        <v>4.2843299999999997</v>
      </c>
      <c r="E243" s="150" t="s">
        <v>773</v>
      </c>
    </row>
    <row r="244" spans="1:5" ht="30">
      <c r="A244" s="150" t="s">
        <v>391</v>
      </c>
      <c r="B244" s="150" t="s">
        <v>391</v>
      </c>
      <c r="C244" s="150" t="s">
        <v>774</v>
      </c>
      <c r="D244" s="195">
        <f>0.37284+0.45888+0.427</f>
        <v>1.2587200000000001</v>
      </c>
      <c r="E244" s="150" t="s">
        <v>773</v>
      </c>
    </row>
    <row r="245" spans="1:5" ht="30">
      <c r="A245" s="150" t="s">
        <v>391</v>
      </c>
      <c r="B245" s="150" t="s">
        <v>391</v>
      </c>
      <c r="C245" s="150" t="s">
        <v>772</v>
      </c>
      <c r="D245" s="195">
        <v>12.503</v>
      </c>
      <c r="E245" s="194" t="s">
        <v>771</v>
      </c>
    </row>
    <row r="246" spans="1:5" ht="30">
      <c r="A246" s="150" t="s">
        <v>391</v>
      </c>
      <c r="B246" s="150" t="s">
        <v>391</v>
      </c>
      <c r="C246" s="150" t="s">
        <v>770</v>
      </c>
      <c r="D246" s="195">
        <f>2.195+(438.3+438.3+438.3)/1000</f>
        <v>3.5099</v>
      </c>
      <c r="E246" s="194" t="s">
        <v>769</v>
      </c>
    </row>
    <row r="247" spans="1:5" ht="120">
      <c r="A247" s="150" t="s">
        <v>391</v>
      </c>
      <c r="B247" s="150" t="s">
        <v>768</v>
      </c>
      <c r="C247" s="150" t="s">
        <v>767</v>
      </c>
      <c r="D247" s="195">
        <v>29.033999999999999</v>
      </c>
      <c r="E247" s="194" t="s">
        <v>766</v>
      </c>
    </row>
    <row r="248" spans="1:5" ht="135">
      <c r="A248" s="150" t="s">
        <v>391</v>
      </c>
      <c r="B248" s="150" t="s">
        <v>391</v>
      </c>
      <c r="C248" s="150" t="s">
        <v>765</v>
      </c>
      <c r="D248" s="195">
        <f>3421.706+(134955.6+366501.6+248276.4+155994+401299.2+261117.6+132210+242474.4+139086)/1000</f>
        <v>5503.6208000000006</v>
      </c>
      <c r="E248" s="194" t="s">
        <v>764</v>
      </c>
    </row>
    <row r="249" spans="1:5" ht="135">
      <c r="A249" s="150" t="s">
        <v>391</v>
      </c>
      <c r="B249" s="150" t="s">
        <v>391</v>
      </c>
      <c r="C249" s="150" t="s">
        <v>765</v>
      </c>
      <c r="D249" s="195">
        <f>(192048+254499.6+260314.8+449707.2+249154.8)/1000</f>
        <v>1405.7243999999998</v>
      </c>
      <c r="E249" s="194" t="s">
        <v>764</v>
      </c>
    </row>
    <row r="250" spans="1:5" ht="135">
      <c r="A250" s="150" t="s">
        <v>391</v>
      </c>
      <c r="B250" s="150" t="s">
        <v>391</v>
      </c>
      <c r="C250" s="150" t="s">
        <v>765</v>
      </c>
      <c r="D250" s="195">
        <f>197.3676+224.0628+249.6276+139.056+231.5952+291.3144</f>
        <v>1333.0236</v>
      </c>
      <c r="E250" s="194" t="s">
        <v>764</v>
      </c>
    </row>
    <row r="251" spans="1:5" ht="43.15" customHeight="1">
      <c r="A251" s="150" t="s">
        <v>391</v>
      </c>
      <c r="B251" s="150" t="s">
        <v>763</v>
      </c>
      <c r="C251" s="150" t="s">
        <v>760</v>
      </c>
      <c r="D251" s="195">
        <f>807.912</f>
        <v>807.91200000000003</v>
      </c>
      <c r="E251" s="83" t="s">
        <v>759</v>
      </c>
    </row>
    <row r="252" spans="1:5" ht="45">
      <c r="A252" s="150" t="s">
        <v>391</v>
      </c>
      <c r="B252" s="150" t="s">
        <v>762</v>
      </c>
      <c r="C252" s="150" t="s">
        <v>760</v>
      </c>
      <c r="D252" s="195">
        <f>263.3928+234.10452+179.481+2240.016+756.526</f>
        <v>3673.5203200000001</v>
      </c>
      <c r="E252" s="83" t="s">
        <v>759</v>
      </c>
    </row>
    <row r="253" spans="1:5" ht="45">
      <c r="A253" s="150" t="s">
        <v>391</v>
      </c>
      <c r="B253" s="150" t="s">
        <v>761</v>
      </c>
      <c r="C253" s="150" t="s">
        <v>760</v>
      </c>
      <c r="D253" s="195">
        <f>106.18152+95.47488+210.99552</f>
        <v>412.65192000000002</v>
      </c>
      <c r="E253" s="83" t="s">
        <v>759</v>
      </c>
    </row>
    <row r="254" spans="1:5" ht="90">
      <c r="A254" s="150" t="s">
        <v>391</v>
      </c>
      <c r="B254" s="150" t="s">
        <v>758</v>
      </c>
      <c r="C254" s="150" t="s">
        <v>757</v>
      </c>
      <c r="D254" s="195">
        <v>196.79400000000001</v>
      </c>
      <c r="E254" s="194" t="s">
        <v>756</v>
      </c>
    </row>
    <row r="255" spans="1:5" ht="105">
      <c r="A255" s="150" t="s">
        <v>391</v>
      </c>
      <c r="B255" s="150" t="s">
        <v>755</v>
      </c>
      <c r="C255" s="150" t="s">
        <v>754</v>
      </c>
      <c r="D255" s="195">
        <f>102.9004+42.09012+58.47419+113.78914+1083.672+1252.034</f>
        <v>2652.9598500000002</v>
      </c>
      <c r="E255" s="150" t="s">
        <v>751</v>
      </c>
    </row>
    <row r="256" spans="1:5" ht="120">
      <c r="A256" s="150" t="s">
        <v>391</v>
      </c>
      <c r="B256" s="150" t="s">
        <v>753</v>
      </c>
      <c r="C256" s="150" t="s">
        <v>752</v>
      </c>
      <c r="D256" s="195">
        <f>132.39308+52.57706+68.69321+108.26239+1020.051+1942.329</f>
        <v>3324.3057399999998</v>
      </c>
      <c r="E256" s="150" t="s">
        <v>751</v>
      </c>
    </row>
    <row r="257" spans="1:5" ht="120">
      <c r="A257" s="150" t="s">
        <v>391</v>
      </c>
      <c r="B257" s="150" t="s">
        <v>750</v>
      </c>
      <c r="C257" s="150" t="s">
        <v>749</v>
      </c>
      <c r="D257" s="195">
        <v>195.61500000000001</v>
      </c>
      <c r="E257" s="194" t="s">
        <v>746</v>
      </c>
    </row>
    <row r="258" spans="1:5" ht="45">
      <c r="A258" s="150" t="s">
        <v>391</v>
      </c>
      <c r="B258" s="150" t="s">
        <v>748</v>
      </c>
      <c r="C258" s="150" t="s">
        <v>743</v>
      </c>
      <c r="D258" s="195">
        <v>190.56800000000001</v>
      </c>
      <c r="E258" s="194" t="s">
        <v>746</v>
      </c>
    </row>
    <row r="259" spans="1:5">
      <c r="A259" s="150" t="s">
        <v>391</v>
      </c>
      <c r="B259" s="150" t="s">
        <v>747</v>
      </c>
      <c r="C259" s="150" t="s">
        <v>743</v>
      </c>
      <c r="D259" s="195">
        <v>133.56700000000001</v>
      </c>
      <c r="E259" s="194" t="s">
        <v>746</v>
      </c>
    </row>
    <row r="260" spans="1:5" ht="45">
      <c r="A260" s="150" t="s">
        <v>391</v>
      </c>
      <c r="B260" s="150" t="s">
        <v>745</v>
      </c>
      <c r="C260" s="150" t="s">
        <v>743</v>
      </c>
      <c r="D260" s="195">
        <v>301.59300000000002</v>
      </c>
      <c r="E260" s="194" t="s">
        <v>742</v>
      </c>
    </row>
    <row r="261" spans="1:5" ht="45">
      <c r="A261" s="150" t="s">
        <v>391</v>
      </c>
      <c r="B261" s="150" t="s">
        <v>744</v>
      </c>
      <c r="C261" s="150" t="s">
        <v>743</v>
      </c>
      <c r="D261" s="195">
        <v>694.98099999999999</v>
      </c>
      <c r="E261" s="194" t="s">
        <v>742</v>
      </c>
    </row>
    <row r="262" spans="1:5" ht="45">
      <c r="A262" s="150" t="s">
        <v>391</v>
      </c>
      <c r="B262" s="150" t="s">
        <v>391</v>
      </c>
      <c r="C262" s="150" t="s">
        <v>741</v>
      </c>
      <c r="D262" s="195">
        <v>1324.221</v>
      </c>
      <c r="E262" s="194" t="s">
        <v>740</v>
      </c>
    </row>
    <row r="263" spans="1:5" ht="45">
      <c r="A263" s="150" t="s">
        <v>391</v>
      </c>
      <c r="B263" s="150" t="s">
        <v>391</v>
      </c>
      <c r="C263" s="150" t="s">
        <v>739</v>
      </c>
      <c r="D263" s="195">
        <f>136.21462+18.98216+148.133+64.686</f>
        <v>368.01578000000006</v>
      </c>
      <c r="E263" s="194" t="s">
        <v>719</v>
      </c>
    </row>
    <row r="264" spans="1:5" ht="90">
      <c r="A264" s="150" t="s">
        <v>391</v>
      </c>
      <c r="B264" s="150" t="s">
        <v>738</v>
      </c>
      <c r="C264" s="150" t="s">
        <v>737</v>
      </c>
      <c r="D264" s="195">
        <v>44.450600000000001</v>
      </c>
      <c r="E264" s="194" t="s">
        <v>719</v>
      </c>
    </row>
    <row r="265" spans="1:5" ht="60">
      <c r="A265" s="150" t="s">
        <v>391</v>
      </c>
      <c r="B265" s="150" t="s">
        <v>391</v>
      </c>
      <c r="C265" s="150" t="s">
        <v>736</v>
      </c>
      <c r="D265" s="195">
        <f>97.2798+78.4458+97.36044+104.5944+14.12359+85.57772+80.46331+12.73001+12.73001+15.50791</f>
        <v>598.81299000000001</v>
      </c>
      <c r="E265" s="194" t="s">
        <v>719</v>
      </c>
    </row>
    <row r="266" spans="1:5" ht="75">
      <c r="A266" s="150" t="s">
        <v>391</v>
      </c>
      <c r="B266" s="150" t="s">
        <v>391</v>
      </c>
      <c r="C266" s="150" t="s">
        <v>735</v>
      </c>
      <c r="D266" s="195">
        <f>861.3398+2.38+239.758</f>
        <v>1103.4777999999999</v>
      </c>
      <c r="E266" s="194" t="s">
        <v>719</v>
      </c>
    </row>
    <row r="267" spans="1:5" ht="60">
      <c r="A267" s="150" t="s">
        <v>391</v>
      </c>
      <c r="B267" s="150" t="s">
        <v>391</v>
      </c>
      <c r="C267" s="150" t="s">
        <v>734</v>
      </c>
      <c r="D267" s="195">
        <v>199.89389000000003</v>
      </c>
      <c r="E267" s="194" t="s">
        <v>719</v>
      </c>
    </row>
    <row r="268" spans="1:5" ht="60">
      <c r="A268" s="150" t="s">
        <v>391</v>
      </c>
      <c r="B268" s="150" t="s">
        <v>391</v>
      </c>
      <c r="C268" s="150" t="s">
        <v>733</v>
      </c>
      <c r="D268" s="195">
        <v>199.94050000000001</v>
      </c>
      <c r="E268" s="194" t="s">
        <v>719</v>
      </c>
    </row>
    <row r="269" spans="1:5" ht="90">
      <c r="A269" s="150" t="s">
        <v>391</v>
      </c>
      <c r="B269" s="150" t="s">
        <v>391</v>
      </c>
      <c r="C269" s="150" t="s">
        <v>732</v>
      </c>
      <c r="D269" s="195">
        <v>199.90476000000001</v>
      </c>
      <c r="E269" s="194" t="s">
        <v>719</v>
      </c>
    </row>
    <row r="270" spans="1:5" ht="30">
      <c r="A270" s="150" t="s">
        <v>391</v>
      </c>
      <c r="B270" s="150" t="s">
        <v>731</v>
      </c>
      <c r="C270" s="150" t="s">
        <v>727</v>
      </c>
      <c r="D270" s="195">
        <v>120.816</v>
      </c>
      <c r="E270" s="194" t="s">
        <v>719</v>
      </c>
    </row>
    <row r="271" spans="1:5" ht="45">
      <c r="A271" s="150" t="s">
        <v>391</v>
      </c>
      <c r="B271" s="150" t="s">
        <v>730</v>
      </c>
      <c r="C271" s="150" t="s">
        <v>729</v>
      </c>
      <c r="D271" s="195">
        <v>37.762999999999998</v>
      </c>
      <c r="E271" s="194" t="s">
        <v>719</v>
      </c>
    </row>
    <row r="272" spans="1:5" ht="30">
      <c r="A272" s="150" t="s">
        <v>391</v>
      </c>
      <c r="B272" s="150" t="s">
        <v>391</v>
      </c>
      <c r="C272" s="150" t="s">
        <v>728</v>
      </c>
      <c r="D272" s="195">
        <f>92.24+106.915</f>
        <v>199.155</v>
      </c>
      <c r="E272" s="194" t="s">
        <v>719</v>
      </c>
    </row>
    <row r="273" spans="1:5" ht="30">
      <c r="A273" s="150" t="s">
        <v>391</v>
      </c>
      <c r="B273" s="150" t="s">
        <v>391</v>
      </c>
      <c r="C273" s="150" t="s">
        <v>727</v>
      </c>
      <c r="D273" s="195">
        <f>245.303+495.795+322.686</f>
        <v>1063.7839999999999</v>
      </c>
      <c r="E273" s="194" t="s">
        <v>719</v>
      </c>
    </row>
    <row r="274" spans="1:5" ht="75">
      <c r="A274" s="150" t="s">
        <v>391</v>
      </c>
      <c r="B274" s="150" t="s">
        <v>726</v>
      </c>
      <c r="C274" s="150" t="s">
        <v>725</v>
      </c>
      <c r="D274" s="195">
        <f>2328.558+584.706+697.851+657.905+350.681+510.676+268.816</f>
        <v>5399.1930000000002</v>
      </c>
      <c r="E274" s="194" t="s">
        <v>719</v>
      </c>
    </row>
    <row r="275" spans="1:5" ht="90">
      <c r="A275" s="150" t="s">
        <v>391</v>
      </c>
      <c r="B275" s="150" t="s">
        <v>724</v>
      </c>
      <c r="C275" s="150" t="s">
        <v>723</v>
      </c>
      <c r="D275" s="195">
        <v>117.843</v>
      </c>
      <c r="E275" s="194" t="s">
        <v>719</v>
      </c>
    </row>
    <row r="276" spans="1:5" ht="60">
      <c r="A276" s="150" t="s">
        <v>391</v>
      </c>
      <c r="B276" s="150" t="s">
        <v>391</v>
      </c>
      <c r="C276" s="150" t="s">
        <v>722</v>
      </c>
      <c r="D276" s="195">
        <v>198.96299999999999</v>
      </c>
      <c r="E276" s="194" t="s">
        <v>719</v>
      </c>
    </row>
    <row r="277" spans="1:5" ht="150">
      <c r="A277" s="150" t="s">
        <v>391</v>
      </c>
      <c r="B277" s="150" t="s">
        <v>391</v>
      </c>
      <c r="C277" s="150" t="s">
        <v>721</v>
      </c>
      <c r="D277" s="195">
        <v>199.94499999999999</v>
      </c>
      <c r="E277" s="194" t="s">
        <v>719</v>
      </c>
    </row>
    <row r="278" spans="1:5" ht="75">
      <c r="A278" s="150" t="s">
        <v>391</v>
      </c>
      <c r="B278" s="150" t="s">
        <v>391</v>
      </c>
      <c r="C278" s="150" t="s">
        <v>720</v>
      </c>
      <c r="D278" s="195">
        <v>233.90123000000003</v>
      </c>
      <c r="E278" s="194" t="s">
        <v>719</v>
      </c>
    </row>
    <row r="279" spans="1:5">
      <c r="A279" s="146" t="s">
        <v>389</v>
      </c>
      <c r="B279" s="192"/>
      <c r="C279" s="190"/>
      <c r="D279" s="193">
        <f>SUM(D175:D278)</f>
        <v>51386.659090000001</v>
      </c>
      <c r="E279" s="190"/>
    </row>
    <row r="280" spans="1:5">
      <c r="A280" s="192"/>
      <c r="B280" s="192"/>
      <c r="C280" s="190"/>
      <c r="D280" s="191"/>
      <c r="E280" s="190"/>
    </row>
    <row r="281" spans="1:5">
      <c r="A281" s="71"/>
      <c r="B281" s="189">
        <v>1216011</v>
      </c>
      <c r="C281" s="189"/>
      <c r="D281" s="188"/>
      <c r="E281" s="71"/>
    </row>
    <row r="282" spans="1:5" ht="45">
      <c r="A282" s="83" t="s">
        <v>391</v>
      </c>
      <c r="B282" s="187" t="s">
        <v>718</v>
      </c>
      <c r="C282" s="187" t="s">
        <v>718</v>
      </c>
      <c r="D282" s="185">
        <f>7098/1000</f>
        <v>7.0979999999999999</v>
      </c>
      <c r="E282" s="83" t="s">
        <v>649</v>
      </c>
    </row>
    <row r="283" spans="1:5" ht="45">
      <c r="A283" s="83" t="s">
        <v>391</v>
      </c>
      <c r="B283" s="186" t="s">
        <v>717</v>
      </c>
      <c r="C283" s="186" t="s">
        <v>717</v>
      </c>
      <c r="D283" s="184">
        <f>12243.6/1000</f>
        <v>12.243600000000001</v>
      </c>
      <c r="E283" s="83" t="s">
        <v>649</v>
      </c>
    </row>
    <row r="284" spans="1:5" ht="45">
      <c r="A284" s="83" t="s">
        <v>391</v>
      </c>
      <c r="B284" s="186" t="s">
        <v>716</v>
      </c>
      <c r="C284" s="186" t="s">
        <v>716</v>
      </c>
      <c r="D284" s="184">
        <f>10839.6/1000</f>
        <v>10.839600000000001</v>
      </c>
      <c r="E284" s="83" t="s">
        <v>649</v>
      </c>
    </row>
    <row r="285" spans="1:5" ht="45">
      <c r="A285" s="83" t="s">
        <v>391</v>
      </c>
      <c r="B285" s="186" t="s">
        <v>715</v>
      </c>
      <c r="C285" s="186" t="s">
        <v>715</v>
      </c>
      <c r="D285" s="184">
        <f>6788.4/1000</f>
        <v>6.7883999999999993</v>
      </c>
      <c r="E285" s="83" t="s">
        <v>649</v>
      </c>
    </row>
    <row r="286" spans="1:5" ht="30">
      <c r="A286" s="83" t="s">
        <v>391</v>
      </c>
      <c r="B286" s="186" t="s">
        <v>714</v>
      </c>
      <c r="C286" s="186" t="s">
        <v>714</v>
      </c>
      <c r="D286" s="184">
        <f>4218/1000</f>
        <v>4.218</v>
      </c>
      <c r="E286" s="83" t="s">
        <v>649</v>
      </c>
    </row>
    <row r="287" spans="1:5" ht="45">
      <c r="A287" s="83" t="s">
        <v>391</v>
      </c>
      <c r="B287" s="186" t="s">
        <v>713</v>
      </c>
      <c r="C287" s="186" t="s">
        <v>713</v>
      </c>
      <c r="D287" s="184">
        <f>3942/1000</f>
        <v>3.9420000000000002</v>
      </c>
      <c r="E287" s="83" t="s">
        <v>649</v>
      </c>
    </row>
    <row r="288" spans="1:5" ht="45">
      <c r="A288" s="83" t="s">
        <v>391</v>
      </c>
      <c r="B288" s="186" t="s">
        <v>712</v>
      </c>
      <c r="C288" s="186" t="s">
        <v>712</v>
      </c>
      <c r="D288" s="184">
        <f>3709.2/1000</f>
        <v>3.7091999999999996</v>
      </c>
      <c r="E288" s="83" t="s">
        <v>649</v>
      </c>
    </row>
    <row r="289" spans="1:5" ht="45">
      <c r="A289" s="83" t="s">
        <v>391</v>
      </c>
      <c r="B289" s="186" t="s">
        <v>711</v>
      </c>
      <c r="C289" s="186" t="s">
        <v>711</v>
      </c>
      <c r="D289" s="184">
        <f>6133.2/1000</f>
        <v>6.1331999999999995</v>
      </c>
      <c r="E289" s="83" t="s">
        <v>649</v>
      </c>
    </row>
    <row r="290" spans="1:5" ht="45">
      <c r="A290" s="83" t="s">
        <v>391</v>
      </c>
      <c r="B290" s="186" t="s">
        <v>710</v>
      </c>
      <c r="C290" s="186" t="s">
        <v>710</v>
      </c>
      <c r="D290" s="184">
        <f>20689.2/1000</f>
        <v>20.6892</v>
      </c>
      <c r="E290" s="83" t="s">
        <v>649</v>
      </c>
    </row>
    <row r="291" spans="1:5" ht="45">
      <c r="A291" s="83" t="s">
        <v>391</v>
      </c>
      <c r="B291" s="186" t="s">
        <v>709</v>
      </c>
      <c r="C291" s="186" t="s">
        <v>709</v>
      </c>
      <c r="D291" s="184">
        <f>11668.8/1000</f>
        <v>11.668799999999999</v>
      </c>
      <c r="E291" s="83" t="s">
        <v>649</v>
      </c>
    </row>
    <row r="292" spans="1:5" ht="45">
      <c r="A292" s="83" t="s">
        <v>391</v>
      </c>
      <c r="B292" s="186" t="s">
        <v>708</v>
      </c>
      <c r="C292" s="186" t="s">
        <v>708</v>
      </c>
      <c r="D292" s="184">
        <f>10863.6/1000</f>
        <v>10.8636</v>
      </c>
      <c r="E292" s="83" t="s">
        <v>649</v>
      </c>
    </row>
    <row r="293" spans="1:5" ht="45">
      <c r="A293" s="83" t="s">
        <v>391</v>
      </c>
      <c r="B293" s="186" t="s">
        <v>707</v>
      </c>
      <c r="C293" s="186" t="s">
        <v>707</v>
      </c>
      <c r="D293" s="184">
        <f>5472/1000</f>
        <v>5.4720000000000004</v>
      </c>
      <c r="E293" s="83" t="s">
        <v>649</v>
      </c>
    </row>
    <row r="294" spans="1:5" ht="45">
      <c r="A294" s="83" t="s">
        <v>391</v>
      </c>
      <c r="B294" s="186" t="s">
        <v>706</v>
      </c>
      <c r="C294" s="186" t="s">
        <v>706</v>
      </c>
      <c r="D294" s="184">
        <f>6948/1000</f>
        <v>6.9480000000000004</v>
      </c>
      <c r="E294" s="83" t="s">
        <v>649</v>
      </c>
    </row>
    <row r="295" spans="1:5" ht="45">
      <c r="A295" s="83" t="s">
        <v>391</v>
      </c>
      <c r="B295" s="186" t="s">
        <v>705</v>
      </c>
      <c r="C295" s="186" t="s">
        <v>705</v>
      </c>
      <c r="D295" s="184">
        <f>10929.6/1000</f>
        <v>10.929600000000001</v>
      </c>
      <c r="E295" s="83" t="s">
        <v>649</v>
      </c>
    </row>
    <row r="296" spans="1:5" ht="45">
      <c r="A296" s="83" t="s">
        <v>391</v>
      </c>
      <c r="B296" s="186" t="s">
        <v>704</v>
      </c>
      <c r="C296" s="186" t="s">
        <v>704</v>
      </c>
      <c r="D296" s="184">
        <f>10852.8/1000</f>
        <v>10.852799999999998</v>
      </c>
      <c r="E296" s="83" t="s">
        <v>649</v>
      </c>
    </row>
    <row r="297" spans="1:5" ht="45">
      <c r="A297" s="83" t="s">
        <v>391</v>
      </c>
      <c r="B297" s="186" t="s">
        <v>703</v>
      </c>
      <c r="C297" s="186" t="s">
        <v>703</v>
      </c>
      <c r="D297" s="184">
        <f>2884.8/1000</f>
        <v>2.8848000000000003</v>
      </c>
      <c r="E297" s="83" t="s">
        <v>649</v>
      </c>
    </row>
    <row r="298" spans="1:5" ht="45">
      <c r="A298" s="83" t="s">
        <v>391</v>
      </c>
      <c r="B298" s="186" t="s">
        <v>702</v>
      </c>
      <c r="C298" s="186" t="s">
        <v>702</v>
      </c>
      <c r="D298" s="184">
        <f>10611.6/1000</f>
        <v>10.611600000000001</v>
      </c>
      <c r="E298" s="83" t="s">
        <v>649</v>
      </c>
    </row>
    <row r="299" spans="1:5" ht="45">
      <c r="A299" s="83" t="s">
        <v>391</v>
      </c>
      <c r="B299" s="186" t="s">
        <v>701</v>
      </c>
      <c r="C299" s="186" t="s">
        <v>701</v>
      </c>
      <c r="D299" s="184">
        <f>3942/1000</f>
        <v>3.9420000000000002</v>
      </c>
      <c r="E299" s="83" t="s">
        <v>649</v>
      </c>
    </row>
    <row r="300" spans="1:5" ht="45">
      <c r="A300" s="83" t="s">
        <v>391</v>
      </c>
      <c r="B300" s="186" t="s">
        <v>700</v>
      </c>
      <c r="C300" s="186" t="s">
        <v>700</v>
      </c>
      <c r="D300" s="184">
        <f>10867.2/1000</f>
        <v>10.8672</v>
      </c>
      <c r="E300" s="83" t="s">
        <v>649</v>
      </c>
    </row>
    <row r="301" spans="1:5" ht="45">
      <c r="A301" s="83" t="s">
        <v>391</v>
      </c>
      <c r="B301" s="186" t="s">
        <v>699</v>
      </c>
      <c r="C301" s="186" t="s">
        <v>699</v>
      </c>
      <c r="D301" s="184">
        <f>14276.4/1000</f>
        <v>14.276399999999999</v>
      </c>
      <c r="E301" s="83" t="s">
        <v>649</v>
      </c>
    </row>
    <row r="302" spans="1:5" ht="45">
      <c r="A302" s="83" t="s">
        <v>391</v>
      </c>
      <c r="B302" s="186" t="s">
        <v>698</v>
      </c>
      <c r="C302" s="186" t="s">
        <v>698</v>
      </c>
      <c r="D302" s="184">
        <f>5833.2/1000</f>
        <v>5.8331999999999997</v>
      </c>
      <c r="E302" s="83" t="s">
        <v>649</v>
      </c>
    </row>
    <row r="303" spans="1:5" ht="45">
      <c r="A303" s="83" t="s">
        <v>391</v>
      </c>
      <c r="B303" s="186" t="s">
        <v>697</v>
      </c>
      <c r="C303" s="186" t="s">
        <v>697</v>
      </c>
      <c r="D303" s="184">
        <f>3404.4/1000</f>
        <v>3.4043999999999999</v>
      </c>
      <c r="E303" s="83" t="s">
        <v>649</v>
      </c>
    </row>
    <row r="304" spans="1:5" ht="45">
      <c r="A304" s="83" t="s">
        <v>391</v>
      </c>
      <c r="B304" s="186" t="s">
        <v>696</v>
      </c>
      <c r="C304" s="186" t="s">
        <v>696</v>
      </c>
      <c r="D304" s="184">
        <f>5373.6/1000</f>
        <v>5.3736000000000006</v>
      </c>
      <c r="E304" s="83" t="s">
        <v>649</v>
      </c>
    </row>
    <row r="305" spans="1:5" ht="45">
      <c r="A305" s="83" t="s">
        <v>391</v>
      </c>
      <c r="B305" s="186" t="s">
        <v>695</v>
      </c>
      <c r="C305" s="186" t="s">
        <v>695</v>
      </c>
      <c r="D305" s="184">
        <f>9378/1000</f>
        <v>9.3780000000000001</v>
      </c>
      <c r="E305" s="83" t="s">
        <v>649</v>
      </c>
    </row>
    <row r="306" spans="1:5" ht="45">
      <c r="A306" s="83" t="s">
        <v>391</v>
      </c>
      <c r="B306" s="186" t="s">
        <v>694</v>
      </c>
      <c r="C306" s="186" t="s">
        <v>694</v>
      </c>
      <c r="D306" s="184">
        <f>11086.8/1000</f>
        <v>11.086799999999998</v>
      </c>
      <c r="E306" s="83" t="s">
        <v>649</v>
      </c>
    </row>
    <row r="307" spans="1:5" ht="45">
      <c r="A307" s="83" t="s">
        <v>391</v>
      </c>
      <c r="B307" s="186" t="s">
        <v>693</v>
      </c>
      <c r="C307" s="186" t="s">
        <v>693</v>
      </c>
      <c r="D307" s="184">
        <f>6226.8/1000</f>
        <v>6.2267999999999999</v>
      </c>
      <c r="E307" s="83" t="s">
        <v>649</v>
      </c>
    </row>
    <row r="308" spans="1:5" ht="45">
      <c r="A308" s="83" t="s">
        <v>391</v>
      </c>
      <c r="B308" s="186" t="s">
        <v>692</v>
      </c>
      <c r="C308" s="186" t="s">
        <v>692</v>
      </c>
      <c r="D308" s="184">
        <f>8625.6/1000</f>
        <v>8.6256000000000004</v>
      </c>
      <c r="E308" s="83" t="s">
        <v>649</v>
      </c>
    </row>
    <row r="309" spans="1:5" ht="45">
      <c r="A309" s="83" t="s">
        <v>391</v>
      </c>
      <c r="B309" s="186" t="s">
        <v>691</v>
      </c>
      <c r="C309" s="186" t="s">
        <v>691</v>
      </c>
      <c r="D309" s="184">
        <f>11506.8/1000</f>
        <v>11.5068</v>
      </c>
      <c r="E309" s="83" t="s">
        <v>649</v>
      </c>
    </row>
    <row r="310" spans="1:5" ht="45">
      <c r="A310" s="83" t="s">
        <v>391</v>
      </c>
      <c r="B310" s="186" t="s">
        <v>690</v>
      </c>
      <c r="C310" s="186" t="s">
        <v>690</v>
      </c>
      <c r="D310" s="184">
        <f>3703.2/1000</f>
        <v>3.7031999999999998</v>
      </c>
      <c r="E310" s="83" t="s">
        <v>649</v>
      </c>
    </row>
    <row r="311" spans="1:5" ht="45">
      <c r="A311" s="83" t="s">
        <v>391</v>
      </c>
      <c r="B311" s="186" t="s">
        <v>689</v>
      </c>
      <c r="C311" s="186" t="s">
        <v>689</v>
      </c>
      <c r="D311" s="184">
        <f>9250.8/1000</f>
        <v>9.2507999999999999</v>
      </c>
      <c r="E311" s="83" t="s">
        <v>649</v>
      </c>
    </row>
    <row r="312" spans="1:5" ht="45">
      <c r="A312" s="83" t="s">
        <v>391</v>
      </c>
      <c r="B312" s="186" t="s">
        <v>688</v>
      </c>
      <c r="C312" s="186" t="s">
        <v>688</v>
      </c>
      <c r="D312" s="184">
        <f>3345.6/1000</f>
        <v>3.3456000000000001</v>
      </c>
      <c r="E312" s="83" t="s">
        <v>649</v>
      </c>
    </row>
    <row r="313" spans="1:5" ht="45">
      <c r="A313" s="83" t="s">
        <v>391</v>
      </c>
      <c r="B313" s="186" t="s">
        <v>687</v>
      </c>
      <c r="C313" s="186" t="s">
        <v>687</v>
      </c>
      <c r="D313" s="184">
        <f>3494.4/1000</f>
        <v>3.4944000000000002</v>
      </c>
      <c r="E313" s="83" t="s">
        <v>649</v>
      </c>
    </row>
    <row r="314" spans="1:5" ht="45">
      <c r="A314" s="83" t="s">
        <v>391</v>
      </c>
      <c r="B314" s="186" t="s">
        <v>686</v>
      </c>
      <c r="C314" s="186" t="s">
        <v>686</v>
      </c>
      <c r="D314" s="184">
        <f>152097.41/1000</f>
        <v>152.09741</v>
      </c>
      <c r="E314" s="83" t="s">
        <v>685</v>
      </c>
    </row>
    <row r="315" spans="1:5" ht="45">
      <c r="A315" s="83" t="s">
        <v>391</v>
      </c>
      <c r="B315" s="186" t="s">
        <v>684</v>
      </c>
      <c r="C315" s="186" t="s">
        <v>684</v>
      </c>
      <c r="D315" s="184">
        <f>18187.57/1000</f>
        <v>18.187570000000001</v>
      </c>
      <c r="E315" s="179" t="s">
        <v>683</v>
      </c>
    </row>
    <row r="316" spans="1:5" ht="30">
      <c r="A316" s="83" t="s">
        <v>391</v>
      </c>
      <c r="B316" s="186" t="s">
        <v>682</v>
      </c>
      <c r="C316" s="186" t="s">
        <v>682</v>
      </c>
      <c r="D316" s="184">
        <f>138161.99/1000</f>
        <v>138.16199</v>
      </c>
      <c r="E316" s="179" t="s">
        <v>681</v>
      </c>
    </row>
    <row r="317" spans="1:5" ht="30">
      <c r="A317" s="83" t="s">
        <v>391</v>
      </c>
      <c r="B317" s="172" t="s">
        <v>680</v>
      </c>
      <c r="C317" s="172" t="s">
        <v>680</v>
      </c>
      <c r="D317" s="185">
        <f>186460.8/1000</f>
        <v>186.46079999999998</v>
      </c>
      <c r="E317" s="172" t="s">
        <v>678</v>
      </c>
    </row>
    <row r="318" spans="1:5" ht="30">
      <c r="A318" s="83" t="s">
        <v>391</v>
      </c>
      <c r="B318" s="172" t="s">
        <v>679</v>
      </c>
      <c r="C318" s="172" t="s">
        <v>679</v>
      </c>
      <c r="D318" s="184">
        <f>161938.8/1000</f>
        <v>161.93879999999999</v>
      </c>
      <c r="E318" s="172" t="s">
        <v>678</v>
      </c>
    </row>
    <row r="319" spans="1:5" ht="30">
      <c r="A319" s="83" t="s">
        <v>391</v>
      </c>
      <c r="B319" s="172" t="s">
        <v>677</v>
      </c>
      <c r="C319" s="172" t="s">
        <v>677</v>
      </c>
      <c r="D319" s="184">
        <f>82269.6/1000</f>
        <v>82.269600000000011</v>
      </c>
      <c r="E319" s="83" t="s">
        <v>674</v>
      </c>
    </row>
    <row r="320" spans="1:5" ht="30">
      <c r="A320" s="83" t="s">
        <v>391</v>
      </c>
      <c r="B320" s="172" t="s">
        <v>676</v>
      </c>
      <c r="C320" s="172" t="s">
        <v>676</v>
      </c>
      <c r="D320" s="184">
        <f>108467.18/1000</f>
        <v>108.46718</v>
      </c>
      <c r="E320" s="83" t="s">
        <v>674</v>
      </c>
    </row>
    <row r="321" spans="1:5" ht="30">
      <c r="A321" s="83" t="s">
        <v>391</v>
      </c>
      <c r="B321" s="172" t="s">
        <v>675</v>
      </c>
      <c r="C321" s="172" t="s">
        <v>675</v>
      </c>
      <c r="D321" s="184">
        <f>70982.63/1000</f>
        <v>70.98263</v>
      </c>
      <c r="E321" s="83" t="s">
        <v>674</v>
      </c>
    </row>
    <row r="322" spans="1:5" ht="45">
      <c r="A322" s="83" t="s">
        <v>391</v>
      </c>
      <c r="B322" s="172" t="s">
        <v>673</v>
      </c>
      <c r="C322" s="172" t="s">
        <v>673</v>
      </c>
      <c r="D322" s="184">
        <f>2982/1000</f>
        <v>2.9820000000000002</v>
      </c>
      <c r="E322" s="179" t="s">
        <v>649</v>
      </c>
    </row>
    <row r="323" spans="1:5" ht="45">
      <c r="A323" s="83" t="s">
        <v>391</v>
      </c>
      <c r="B323" s="172" t="s">
        <v>672</v>
      </c>
      <c r="C323" s="172" t="s">
        <v>672</v>
      </c>
      <c r="D323" s="184">
        <f>11778/1000</f>
        <v>11.778</v>
      </c>
      <c r="E323" s="179" t="s">
        <v>649</v>
      </c>
    </row>
    <row r="324" spans="1:5" ht="45">
      <c r="A324" s="83" t="s">
        <v>391</v>
      </c>
      <c r="B324" s="172" t="s">
        <v>671</v>
      </c>
      <c r="C324" s="172" t="s">
        <v>671</v>
      </c>
      <c r="D324" s="184">
        <f>9132/1000</f>
        <v>9.1319999999999997</v>
      </c>
      <c r="E324" s="179" t="s">
        <v>649</v>
      </c>
    </row>
    <row r="325" spans="1:5" ht="45">
      <c r="A325" s="83" t="s">
        <v>391</v>
      </c>
      <c r="B325" s="172" t="s">
        <v>670</v>
      </c>
      <c r="C325" s="172" t="s">
        <v>670</v>
      </c>
      <c r="D325" s="184">
        <f>8602.8/1000</f>
        <v>8.6027999999999984</v>
      </c>
      <c r="E325" s="179" t="s">
        <v>649</v>
      </c>
    </row>
    <row r="326" spans="1:5" ht="45">
      <c r="A326" s="83" t="s">
        <v>391</v>
      </c>
      <c r="B326" s="172" t="s">
        <v>669</v>
      </c>
      <c r="C326" s="172" t="s">
        <v>669</v>
      </c>
      <c r="D326" s="184">
        <f>13773.6/1000</f>
        <v>13.7736</v>
      </c>
      <c r="E326" s="179" t="s">
        <v>649</v>
      </c>
    </row>
    <row r="327" spans="1:5" ht="45">
      <c r="A327" s="83" t="s">
        <v>391</v>
      </c>
      <c r="B327" s="172" t="s">
        <v>668</v>
      </c>
      <c r="C327" s="172" t="s">
        <v>668</v>
      </c>
      <c r="D327" s="184">
        <f>27052.8/1000</f>
        <v>27.052799999999998</v>
      </c>
      <c r="E327" s="179" t="s">
        <v>649</v>
      </c>
    </row>
    <row r="328" spans="1:5" ht="45">
      <c r="A328" s="83" t="s">
        <v>391</v>
      </c>
      <c r="B328" s="172" t="s">
        <v>667</v>
      </c>
      <c r="C328" s="172" t="s">
        <v>667</v>
      </c>
      <c r="D328" s="184">
        <f>11758.8/1000</f>
        <v>11.758799999999999</v>
      </c>
      <c r="E328" s="179" t="s">
        <v>649</v>
      </c>
    </row>
    <row r="329" spans="1:5" ht="30">
      <c r="A329" s="83" t="s">
        <v>391</v>
      </c>
      <c r="B329" s="172" t="s">
        <v>666</v>
      </c>
      <c r="C329" s="172" t="s">
        <v>666</v>
      </c>
      <c r="D329" s="184">
        <f>9879.6/1000</f>
        <v>9.8795999999999999</v>
      </c>
      <c r="E329" s="179" t="s">
        <v>649</v>
      </c>
    </row>
    <row r="330" spans="1:5" ht="45">
      <c r="A330" s="83" t="s">
        <v>391</v>
      </c>
      <c r="B330" s="172" t="s">
        <v>665</v>
      </c>
      <c r="C330" s="172" t="s">
        <v>665</v>
      </c>
      <c r="D330" s="184">
        <f>11217.6/1000</f>
        <v>11.217600000000001</v>
      </c>
      <c r="E330" s="179" t="s">
        <v>649</v>
      </c>
    </row>
    <row r="331" spans="1:5" ht="45">
      <c r="A331" s="83" t="s">
        <v>391</v>
      </c>
      <c r="B331" s="172" t="s">
        <v>664</v>
      </c>
      <c r="C331" s="172" t="s">
        <v>664</v>
      </c>
      <c r="D331" s="184">
        <f>10638/1000</f>
        <v>10.638</v>
      </c>
      <c r="E331" s="179" t="s">
        <v>649</v>
      </c>
    </row>
    <row r="332" spans="1:5" ht="45">
      <c r="A332" s="83" t="s">
        <v>391</v>
      </c>
      <c r="B332" s="172" t="s">
        <v>663</v>
      </c>
      <c r="C332" s="172" t="s">
        <v>663</v>
      </c>
      <c r="D332" s="184">
        <f>4074/1000</f>
        <v>4.0739999999999998</v>
      </c>
      <c r="E332" s="179" t="s">
        <v>649</v>
      </c>
    </row>
    <row r="333" spans="1:5" ht="45">
      <c r="A333" s="83" t="s">
        <v>391</v>
      </c>
      <c r="B333" s="172" t="s">
        <v>662</v>
      </c>
      <c r="C333" s="172" t="s">
        <v>662</v>
      </c>
      <c r="D333" s="184">
        <f>11173.2/1000</f>
        <v>11.173200000000001</v>
      </c>
      <c r="E333" s="179" t="s">
        <v>649</v>
      </c>
    </row>
    <row r="334" spans="1:5" ht="45">
      <c r="A334" s="83" t="s">
        <v>391</v>
      </c>
      <c r="B334" s="172" t="s">
        <v>661</v>
      </c>
      <c r="C334" s="172" t="s">
        <v>661</v>
      </c>
      <c r="D334" s="184">
        <f>7022.4/1000</f>
        <v>7.0223999999999993</v>
      </c>
      <c r="E334" s="179" t="s">
        <v>649</v>
      </c>
    </row>
    <row r="335" spans="1:5" ht="45">
      <c r="A335" s="83" t="s">
        <v>391</v>
      </c>
      <c r="B335" s="172" t="s">
        <v>660</v>
      </c>
      <c r="C335" s="172" t="s">
        <v>660</v>
      </c>
      <c r="D335" s="184">
        <f>4621.2/1000</f>
        <v>4.6212</v>
      </c>
      <c r="E335" s="179" t="s">
        <v>649</v>
      </c>
    </row>
    <row r="336" spans="1:5" ht="45">
      <c r="A336" s="83" t="s">
        <v>391</v>
      </c>
      <c r="B336" s="172" t="s">
        <v>659</v>
      </c>
      <c r="C336" s="172" t="s">
        <v>659</v>
      </c>
      <c r="D336" s="184">
        <f>9432/1000</f>
        <v>9.4320000000000004</v>
      </c>
      <c r="E336" s="179" t="s">
        <v>649</v>
      </c>
    </row>
    <row r="337" spans="1:5" ht="30">
      <c r="A337" s="83" t="s">
        <v>391</v>
      </c>
      <c r="B337" s="172" t="s">
        <v>658</v>
      </c>
      <c r="C337" s="172" t="s">
        <v>658</v>
      </c>
      <c r="D337" s="184">
        <f>11956.8/1000</f>
        <v>11.956799999999999</v>
      </c>
      <c r="E337" s="179" t="s">
        <v>649</v>
      </c>
    </row>
    <row r="338" spans="1:5" ht="45">
      <c r="A338" s="83" t="s">
        <v>391</v>
      </c>
      <c r="B338" s="172" t="s">
        <v>657</v>
      </c>
      <c r="C338" s="172" t="s">
        <v>657</v>
      </c>
      <c r="D338" s="184">
        <f>3396/1000</f>
        <v>3.3959999999999999</v>
      </c>
      <c r="E338" s="179" t="s">
        <v>649</v>
      </c>
    </row>
    <row r="339" spans="1:5" ht="30">
      <c r="A339" s="83" t="s">
        <v>391</v>
      </c>
      <c r="B339" s="172" t="s">
        <v>656</v>
      </c>
      <c r="C339" s="172" t="s">
        <v>656</v>
      </c>
      <c r="D339" s="184">
        <f>16515.6/1000</f>
        <v>16.515599999999999</v>
      </c>
      <c r="E339" s="179" t="s">
        <v>649</v>
      </c>
    </row>
    <row r="340" spans="1:5" ht="45">
      <c r="A340" s="83" t="s">
        <v>391</v>
      </c>
      <c r="B340" s="172" t="s">
        <v>655</v>
      </c>
      <c r="C340" s="172" t="s">
        <v>655</v>
      </c>
      <c r="D340" s="184">
        <f>6108/1000</f>
        <v>6.1079999999999997</v>
      </c>
      <c r="E340" s="179" t="s">
        <v>649</v>
      </c>
    </row>
    <row r="341" spans="1:5" ht="45">
      <c r="A341" s="83" t="s">
        <v>391</v>
      </c>
      <c r="B341" s="172" t="s">
        <v>654</v>
      </c>
      <c r="C341" s="172" t="s">
        <v>654</v>
      </c>
      <c r="D341" s="184">
        <f>16456.8/1000</f>
        <v>16.456799999999998</v>
      </c>
      <c r="E341" s="179" t="s">
        <v>649</v>
      </c>
    </row>
    <row r="342" spans="1:5" ht="60">
      <c r="A342" s="83" t="s">
        <v>391</v>
      </c>
      <c r="B342" s="172" t="s">
        <v>653</v>
      </c>
      <c r="C342" s="172" t="s">
        <v>653</v>
      </c>
      <c r="D342" s="184">
        <f>15706.8/1000</f>
        <v>15.706799999999999</v>
      </c>
      <c r="E342" s="179" t="s">
        <v>649</v>
      </c>
    </row>
    <row r="343" spans="1:5" ht="60">
      <c r="A343" s="83" t="s">
        <v>391</v>
      </c>
      <c r="B343" s="172" t="s">
        <v>652</v>
      </c>
      <c r="C343" s="172" t="s">
        <v>652</v>
      </c>
      <c r="D343" s="184">
        <f>10222.8/1000</f>
        <v>10.222799999999999</v>
      </c>
      <c r="E343" s="179" t="s">
        <v>649</v>
      </c>
    </row>
    <row r="344" spans="1:5" ht="60">
      <c r="A344" s="83" t="s">
        <v>391</v>
      </c>
      <c r="B344" s="172" t="s">
        <v>651</v>
      </c>
      <c r="C344" s="172" t="s">
        <v>651</v>
      </c>
      <c r="D344" s="184">
        <f>20738.4/1000</f>
        <v>20.738400000000002</v>
      </c>
      <c r="E344" s="179" t="s">
        <v>649</v>
      </c>
    </row>
    <row r="345" spans="1:5" ht="60">
      <c r="A345" s="83" t="s">
        <v>391</v>
      </c>
      <c r="B345" s="172" t="s">
        <v>650</v>
      </c>
      <c r="C345" s="172" t="s">
        <v>650</v>
      </c>
      <c r="D345" s="184">
        <f>3825.6/1000</f>
        <v>3.8256000000000001</v>
      </c>
      <c r="E345" s="179" t="s">
        <v>649</v>
      </c>
    </row>
    <row r="346" spans="1:5" ht="30">
      <c r="A346" s="83" t="s">
        <v>391</v>
      </c>
      <c r="B346" s="172" t="s">
        <v>648</v>
      </c>
      <c r="C346" s="172" t="s">
        <v>648</v>
      </c>
      <c r="D346" s="184">
        <f>20893.56/1000</f>
        <v>20.893560000000001</v>
      </c>
      <c r="E346" s="179" t="s">
        <v>647</v>
      </c>
    </row>
    <row r="347" spans="1:5" ht="45">
      <c r="A347" s="83" t="s">
        <v>391</v>
      </c>
      <c r="B347" s="172" t="s">
        <v>646</v>
      </c>
      <c r="C347" s="172" t="s">
        <v>646</v>
      </c>
      <c r="D347" s="184">
        <f>70964.22/1000</f>
        <v>70.964219999999997</v>
      </c>
      <c r="E347" s="179" t="s">
        <v>642</v>
      </c>
    </row>
    <row r="348" spans="1:5" ht="45">
      <c r="A348" s="83" t="s">
        <v>391</v>
      </c>
      <c r="B348" s="172" t="s">
        <v>645</v>
      </c>
      <c r="C348" s="172" t="s">
        <v>645</v>
      </c>
      <c r="D348" s="184">
        <f>179981.32/1000</f>
        <v>179.98132000000001</v>
      </c>
      <c r="E348" s="179" t="s">
        <v>642</v>
      </c>
    </row>
    <row r="349" spans="1:5" ht="45">
      <c r="A349" s="83" t="s">
        <v>391</v>
      </c>
      <c r="B349" s="172" t="s">
        <v>644</v>
      </c>
      <c r="C349" s="172" t="s">
        <v>644</v>
      </c>
      <c r="D349" s="184">
        <f>140568.7/1000</f>
        <v>140.56870000000001</v>
      </c>
      <c r="E349" s="179" t="s">
        <v>642</v>
      </c>
    </row>
    <row r="350" spans="1:5" ht="45">
      <c r="A350" s="83" t="s">
        <v>391</v>
      </c>
      <c r="B350" s="172" t="s">
        <v>643</v>
      </c>
      <c r="C350" s="172" t="s">
        <v>643</v>
      </c>
      <c r="D350" s="184">
        <f>39288.08/1000</f>
        <v>39.288080000000001</v>
      </c>
      <c r="E350" s="179" t="s">
        <v>642</v>
      </c>
    </row>
    <row r="351" spans="1:5" ht="45">
      <c r="A351" s="83" t="s">
        <v>391</v>
      </c>
      <c r="B351" s="172" t="s">
        <v>641</v>
      </c>
      <c r="C351" s="172" t="s">
        <v>641</v>
      </c>
      <c r="D351" s="184">
        <f>143888/1000</f>
        <v>143.88800000000001</v>
      </c>
      <c r="E351" s="179" t="s">
        <v>640</v>
      </c>
    </row>
    <row r="352" spans="1:5" ht="45">
      <c r="A352" s="83" t="s">
        <v>391</v>
      </c>
      <c r="B352" s="172" t="s">
        <v>639</v>
      </c>
      <c r="C352" s="172" t="s">
        <v>639</v>
      </c>
      <c r="D352" s="184">
        <f>194910/1000</f>
        <v>194.91</v>
      </c>
      <c r="E352" s="179" t="s">
        <v>636</v>
      </c>
    </row>
    <row r="353" spans="1:5" ht="45">
      <c r="A353" s="83" t="s">
        <v>391</v>
      </c>
      <c r="B353" s="172" t="s">
        <v>638</v>
      </c>
      <c r="C353" s="172" t="s">
        <v>638</v>
      </c>
      <c r="D353" s="184">
        <f>97110/1000</f>
        <v>97.11</v>
      </c>
      <c r="E353" s="179" t="s">
        <v>636</v>
      </c>
    </row>
    <row r="354" spans="1:5" ht="45">
      <c r="A354" s="83" t="s">
        <v>391</v>
      </c>
      <c r="B354" s="172" t="s">
        <v>637</v>
      </c>
      <c r="C354" s="172" t="s">
        <v>637</v>
      </c>
      <c r="D354" s="184">
        <f>196392/1000</f>
        <v>196.392</v>
      </c>
      <c r="E354" s="179" t="s">
        <v>636</v>
      </c>
    </row>
    <row r="355" spans="1:5" ht="45">
      <c r="A355" s="83" t="s">
        <v>391</v>
      </c>
      <c r="B355" s="172" t="s">
        <v>635</v>
      </c>
      <c r="C355" s="172" t="s">
        <v>635</v>
      </c>
      <c r="D355" s="184">
        <f>190456/1000</f>
        <v>190.45599999999999</v>
      </c>
      <c r="E355" s="179" t="s">
        <v>498</v>
      </c>
    </row>
    <row r="356" spans="1:5" ht="45">
      <c r="A356" s="83" t="s">
        <v>391</v>
      </c>
      <c r="B356" s="172" t="s">
        <v>634</v>
      </c>
      <c r="C356" s="172" t="s">
        <v>634</v>
      </c>
      <c r="D356" s="184">
        <f>179999.1/1000</f>
        <v>179.9991</v>
      </c>
      <c r="E356" s="179" t="s">
        <v>498</v>
      </c>
    </row>
    <row r="357" spans="1:5" ht="45">
      <c r="A357" s="83" t="s">
        <v>391</v>
      </c>
      <c r="B357" s="172" t="s">
        <v>633</v>
      </c>
      <c r="C357" s="172" t="s">
        <v>633</v>
      </c>
      <c r="D357" s="184">
        <f>199998/1000</f>
        <v>199.99799999999999</v>
      </c>
      <c r="E357" s="179" t="s">
        <v>498</v>
      </c>
    </row>
    <row r="358" spans="1:5" ht="45">
      <c r="A358" s="83" t="s">
        <v>391</v>
      </c>
      <c r="B358" s="172" t="s">
        <v>632</v>
      </c>
      <c r="C358" s="172" t="s">
        <v>632</v>
      </c>
      <c r="D358" s="184">
        <f>7200/1000</f>
        <v>7.2</v>
      </c>
      <c r="E358" s="179" t="s">
        <v>628</v>
      </c>
    </row>
    <row r="359" spans="1:5" ht="45">
      <c r="A359" s="83" t="s">
        <v>391</v>
      </c>
      <c r="B359" s="172" t="s">
        <v>631</v>
      </c>
      <c r="C359" s="172" t="s">
        <v>631</v>
      </c>
      <c r="D359" s="184">
        <f>7200/1000</f>
        <v>7.2</v>
      </c>
      <c r="E359" s="179" t="s">
        <v>628</v>
      </c>
    </row>
    <row r="360" spans="1:5" ht="45">
      <c r="A360" s="83" t="s">
        <v>391</v>
      </c>
      <c r="B360" s="172" t="s">
        <v>630</v>
      </c>
      <c r="C360" s="172" t="s">
        <v>630</v>
      </c>
      <c r="D360" s="184">
        <f>7200/1000</f>
        <v>7.2</v>
      </c>
      <c r="E360" s="179" t="s">
        <v>628</v>
      </c>
    </row>
    <row r="361" spans="1:5" ht="45">
      <c r="A361" s="83" t="s">
        <v>391</v>
      </c>
      <c r="B361" s="172" t="s">
        <v>629</v>
      </c>
      <c r="C361" s="172" t="s">
        <v>629</v>
      </c>
      <c r="D361" s="184">
        <f>5200/1000</f>
        <v>5.2</v>
      </c>
      <c r="E361" s="179" t="s">
        <v>628</v>
      </c>
    </row>
    <row r="362" spans="1:5" ht="45">
      <c r="A362" s="83" t="s">
        <v>391</v>
      </c>
      <c r="B362" s="172" t="s">
        <v>627</v>
      </c>
      <c r="C362" s="172" t="s">
        <v>627</v>
      </c>
      <c r="D362" s="184">
        <f>88740/1000</f>
        <v>88.74</v>
      </c>
      <c r="E362" s="179" t="s">
        <v>624</v>
      </c>
    </row>
    <row r="363" spans="1:5" ht="60">
      <c r="A363" s="83" t="s">
        <v>391</v>
      </c>
      <c r="B363" s="172" t="s">
        <v>626</v>
      </c>
      <c r="C363" s="172" t="s">
        <v>626</v>
      </c>
      <c r="D363" s="184">
        <f>78492.2/1000</f>
        <v>78.492199999999997</v>
      </c>
      <c r="E363" s="179" t="s">
        <v>624</v>
      </c>
    </row>
    <row r="364" spans="1:5" ht="45">
      <c r="A364" s="83" t="s">
        <v>391</v>
      </c>
      <c r="B364" s="172" t="s">
        <v>625</v>
      </c>
      <c r="C364" s="172" t="s">
        <v>625</v>
      </c>
      <c r="D364" s="184">
        <f>50880.56/1000</f>
        <v>50.880559999999996</v>
      </c>
      <c r="E364" s="179" t="s">
        <v>624</v>
      </c>
    </row>
    <row r="365" spans="1:5" ht="30">
      <c r="A365" s="83" t="s">
        <v>391</v>
      </c>
      <c r="B365" s="172" t="s">
        <v>623</v>
      </c>
      <c r="C365" s="172" t="s">
        <v>623</v>
      </c>
      <c r="D365" s="184">
        <f>176669.28/1000</f>
        <v>176.66927999999999</v>
      </c>
      <c r="E365" s="179" t="s">
        <v>490</v>
      </c>
    </row>
    <row r="366" spans="1:5" ht="45">
      <c r="A366" s="83" t="s">
        <v>391</v>
      </c>
      <c r="B366" s="172" t="s">
        <v>622</v>
      </c>
      <c r="C366" s="172" t="s">
        <v>622</v>
      </c>
      <c r="D366" s="184">
        <f>101355.08/1000</f>
        <v>101.35508</v>
      </c>
      <c r="E366" s="179" t="s">
        <v>487</v>
      </c>
    </row>
    <row r="367" spans="1:5" ht="45">
      <c r="A367" s="83" t="s">
        <v>391</v>
      </c>
      <c r="B367" s="172" t="s">
        <v>621</v>
      </c>
      <c r="C367" s="172" t="s">
        <v>621</v>
      </c>
      <c r="D367" s="184">
        <f>194719.16/1000</f>
        <v>194.71916000000002</v>
      </c>
      <c r="E367" s="179" t="s">
        <v>620</v>
      </c>
    </row>
    <row r="368" spans="1:5" ht="45">
      <c r="A368" s="83" t="s">
        <v>391</v>
      </c>
      <c r="B368" s="172" t="s">
        <v>619</v>
      </c>
      <c r="C368" s="172" t="s">
        <v>619</v>
      </c>
      <c r="D368" s="184">
        <f>199954/1000</f>
        <v>199.95400000000001</v>
      </c>
      <c r="E368" s="179" t="s">
        <v>615</v>
      </c>
    </row>
    <row r="369" spans="1:5" ht="45">
      <c r="A369" s="83" t="s">
        <v>391</v>
      </c>
      <c r="B369" s="172" t="s">
        <v>618</v>
      </c>
      <c r="C369" s="172" t="s">
        <v>618</v>
      </c>
      <c r="D369" s="184">
        <f>198293/1000</f>
        <v>198.29300000000001</v>
      </c>
      <c r="E369" s="179" t="s">
        <v>615</v>
      </c>
    </row>
    <row r="370" spans="1:5" ht="45">
      <c r="A370" s="83" t="s">
        <v>391</v>
      </c>
      <c r="B370" s="172" t="s">
        <v>617</v>
      </c>
      <c r="C370" s="172" t="s">
        <v>617</v>
      </c>
      <c r="D370" s="184">
        <f>198625/1000</f>
        <v>198.625</v>
      </c>
      <c r="E370" s="179" t="s">
        <v>615</v>
      </c>
    </row>
    <row r="371" spans="1:5" ht="45">
      <c r="A371" s="83" t="s">
        <v>391</v>
      </c>
      <c r="B371" s="172" t="s">
        <v>616</v>
      </c>
      <c r="C371" s="172" t="s">
        <v>616</v>
      </c>
      <c r="D371" s="184">
        <f>198717/1000</f>
        <v>198.71700000000001</v>
      </c>
      <c r="E371" s="179" t="s">
        <v>615</v>
      </c>
    </row>
    <row r="372" spans="1:5" ht="45">
      <c r="A372" s="83" t="s">
        <v>391</v>
      </c>
      <c r="B372" s="172" t="s">
        <v>614</v>
      </c>
      <c r="C372" s="172" t="s">
        <v>614</v>
      </c>
      <c r="D372" s="184">
        <f>101013.16/1000</f>
        <v>101.01316</v>
      </c>
      <c r="E372" s="179" t="s">
        <v>612</v>
      </c>
    </row>
    <row r="373" spans="1:5" ht="45">
      <c r="A373" s="83" t="s">
        <v>391</v>
      </c>
      <c r="B373" s="172" t="s">
        <v>613</v>
      </c>
      <c r="C373" s="172" t="s">
        <v>613</v>
      </c>
      <c r="D373" s="184">
        <f>89779.88/1000</f>
        <v>89.779880000000006</v>
      </c>
      <c r="E373" s="179" t="s">
        <v>612</v>
      </c>
    </row>
    <row r="374" spans="1:5" ht="45">
      <c r="A374" s="83" t="s">
        <v>391</v>
      </c>
      <c r="B374" s="172" t="s">
        <v>611</v>
      </c>
      <c r="C374" s="172" t="s">
        <v>611</v>
      </c>
      <c r="D374" s="184">
        <f>60261.22/1000</f>
        <v>60.261220000000002</v>
      </c>
      <c r="E374" s="179" t="s">
        <v>610</v>
      </c>
    </row>
    <row r="375" spans="1:5" ht="30">
      <c r="A375" s="83" t="s">
        <v>391</v>
      </c>
      <c r="B375" s="172" t="s">
        <v>609</v>
      </c>
      <c r="C375" s="172" t="s">
        <v>609</v>
      </c>
      <c r="D375" s="184">
        <f>199774.39/1000</f>
        <v>199.77439000000001</v>
      </c>
      <c r="E375" s="179" t="s">
        <v>471</v>
      </c>
    </row>
    <row r="376" spans="1:5" ht="30">
      <c r="A376" s="83" t="s">
        <v>391</v>
      </c>
      <c r="B376" s="172" t="s">
        <v>608</v>
      </c>
      <c r="C376" s="172" t="s">
        <v>608</v>
      </c>
      <c r="D376" s="184">
        <f>199789.93/1000</f>
        <v>199.78993</v>
      </c>
      <c r="E376" s="179" t="s">
        <v>471</v>
      </c>
    </row>
    <row r="377" spans="1:5" ht="45">
      <c r="A377" s="83" t="s">
        <v>391</v>
      </c>
      <c r="B377" s="172" t="s">
        <v>607</v>
      </c>
      <c r="C377" s="172" t="s">
        <v>607</v>
      </c>
      <c r="D377" s="184">
        <f>199789.9/1000</f>
        <v>199.78989999999999</v>
      </c>
      <c r="E377" s="179" t="s">
        <v>471</v>
      </c>
    </row>
    <row r="378" spans="1:5" ht="30">
      <c r="A378" s="83" t="s">
        <v>391</v>
      </c>
      <c r="B378" s="172" t="s">
        <v>606</v>
      </c>
      <c r="C378" s="172" t="s">
        <v>606</v>
      </c>
      <c r="D378" s="184">
        <f>198027/1000</f>
        <v>198.02699999999999</v>
      </c>
      <c r="E378" s="179" t="s">
        <v>604</v>
      </c>
    </row>
    <row r="379" spans="1:5" ht="45">
      <c r="A379" s="83" t="s">
        <v>391</v>
      </c>
      <c r="B379" s="172" t="s">
        <v>605</v>
      </c>
      <c r="C379" s="172" t="s">
        <v>605</v>
      </c>
      <c r="D379" s="184">
        <f>199602/1000</f>
        <v>199.602</v>
      </c>
      <c r="E379" s="179" t="s">
        <v>604</v>
      </c>
    </row>
    <row r="380" spans="1:5" ht="45">
      <c r="A380" s="83" t="s">
        <v>391</v>
      </c>
      <c r="B380" s="172" t="s">
        <v>603</v>
      </c>
      <c r="C380" s="172" t="s">
        <v>603</v>
      </c>
      <c r="D380" s="184">
        <f>5184/1000</f>
        <v>5.1840000000000002</v>
      </c>
      <c r="E380" s="179" t="s">
        <v>582</v>
      </c>
    </row>
    <row r="381" spans="1:5" ht="45">
      <c r="A381" s="83" t="s">
        <v>391</v>
      </c>
      <c r="B381" s="172" t="s">
        <v>602</v>
      </c>
      <c r="C381" s="172" t="s">
        <v>602</v>
      </c>
      <c r="D381" s="184">
        <f>4200/1000</f>
        <v>4.2</v>
      </c>
      <c r="E381" s="179" t="s">
        <v>582</v>
      </c>
    </row>
    <row r="382" spans="1:5" ht="45">
      <c r="A382" s="83" t="s">
        <v>391</v>
      </c>
      <c r="B382" s="172" t="s">
        <v>601</v>
      </c>
      <c r="C382" s="172" t="s">
        <v>601</v>
      </c>
      <c r="D382" s="184">
        <f>10915.2/1000</f>
        <v>10.9152</v>
      </c>
      <c r="E382" s="179" t="s">
        <v>582</v>
      </c>
    </row>
    <row r="383" spans="1:5" ht="45">
      <c r="A383" s="83" t="s">
        <v>391</v>
      </c>
      <c r="B383" s="172" t="s">
        <v>600</v>
      </c>
      <c r="C383" s="172" t="s">
        <v>600</v>
      </c>
      <c r="D383" s="184">
        <f>11493.6/1000</f>
        <v>11.493600000000001</v>
      </c>
      <c r="E383" s="179" t="s">
        <v>582</v>
      </c>
    </row>
    <row r="384" spans="1:5" ht="45">
      <c r="A384" s="83" t="s">
        <v>391</v>
      </c>
      <c r="B384" s="172" t="s">
        <v>599</v>
      </c>
      <c r="C384" s="172" t="s">
        <v>599</v>
      </c>
      <c r="D384" s="184">
        <f>5643.6/1000</f>
        <v>5.6436000000000002</v>
      </c>
      <c r="E384" s="179" t="s">
        <v>582</v>
      </c>
    </row>
    <row r="385" spans="1:5" ht="45">
      <c r="A385" s="83" t="s">
        <v>391</v>
      </c>
      <c r="B385" s="172" t="s">
        <v>598</v>
      </c>
      <c r="C385" s="172" t="s">
        <v>598</v>
      </c>
      <c r="D385" s="184">
        <f>3925.2/1000</f>
        <v>3.9251999999999998</v>
      </c>
      <c r="E385" s="179" t="s">
        <v>582</v>
      </c>
    </row>
    <row r="386" spans="1:5" ht="45">
      <c r="A386" s="83" t="s">
        <v>391</v>
      </c>
      <c r="B386" s="172" t="s">
        <v>597</v>
      </c>
      <c r="C386" s="172" t="s">
        <v>597</v>
      </c>
      <c r="D386" s="184">
        <f>3925.2/1000</f>
        <v>3.9251999999999998</v>
      </c>
      <c r="E386" s="179" t="s">
        <v>582</v>
      </c>
    </row>
    <row r="387" spans="1:5" ht="45">
      <c r="A387" s="83" t="s">
        <v>391</v>
      </c>
      <c r="B387" s="172" t="s">
        <v>596</v>
      </c>
      <c r="C387" s="172" t="s">
        <v>596</v>
      </c>
      <c r="D387" s="184">
        <f>3925.2/1000</f>
        <v>3.9251999999999998</v>
      </c>
      <c r="E387" s="179" t="s">
        <v>582</v>
      </c>
    </row>
    <row r="388" spans="1:5" ht="45">
      <c r="A388" s="83" t="s">
        <v>391</v>
      </c>
      <c r="B388" s="172" t="s">
        <v>595</v>
      </c>
      <c r="C388" s="172" t="s">
        <v>595</v>
      </c>
      <c r="D388" s="184">
        <f>12734.4/1000</f>
        <v>12.734399999999999</v>
      </c>
      <c r="E388" s="179" t="s">
        <v>582</v>
      </c>
    </row>
    <row r="389" spans="1:5" ht="30">
      <c r="A389" s="83" t="s">
        <v>391</v>
      </c>
      <c r="B389" s="172" t="s">
        <v>594</v>
      </c>
      <c r="C389" s="172" t="s">
        <v>594</v>
      </c>
      <c r="D389" s="184">
        <f>3716.4/1000</f>
        <v>3.7164000000000001</v>
      </c>
      <c r="E389" s="179" t="s">
        <v>582</v>
      </c>
    </row>
    <row r="390" spans="1:5" ht="45">
      <c r="A390" s="83" t="s">
        <v>391</v>
      </c>
      <c r="B390" s="172" t="s">
        <v>593</v>
      </c>
      <c r="C390" s="172" t="s">
        <v>593</v>
      </c>
      <c r="D390" s="184">
        <f>7892.4/1000</f>
        <v>7.8923999999999994</v>
      </c>
      <c r="E390" s="179" t="s">
        <v>582</v>
      </c>
    </row>
    <row r="391" spans="1:5" ht="45">
      <c r="A391" s="83" t="s">
        <v>391</v>
      </c>
      <c r="B391" s="172" t="s">
        <v>592</v>
      </c>
      <c r="C391" s="172" t="s">
        <v>592</v>
      </c>
      <c r="D391" s="184">
        <f>4011.6/1000</f>
        <v>4.0115999999999996</v>
      </c>
      <c r="E391" s="179" t="s">
        <v>582</v>
      </c>
    </row>
    <row r="392" spans="1:5" ht="45">
      <c r="A392" s="83" t="s">
        <v>391</v>
      </c>
      <c r="B392" s="172" t="s">
        <v>591</v>
      </c>
      <c r="C392" s="172" t="s">
        <v>591</v>
      </c>
      <c r="D392" s="184">
        <f>9822/1000</f>
        <v>9.8219999999999992</v>
      </c>
      <c r="E392" s="179" t="s">
        <v>582</v>
      </c>
    </row>
    <row r="393" spans="1:5" ht="45">
      <c r="A393" s="83" t="s">
        <v>391</v>
      </c>
      <c r="B393" s="172" t="s">
        <v>590</v>
      </c>
      <c r="C393" s="172" t="s">
        <v>590</v>
      </c>
      <c r="D393" s="184">
        <f>5769.6/1000</f>
        <v>5.7696000000000005</v>
      </c>
      <c r="E393" s="179" t="s">
        <v>582</v>
      </c>
    </row>
    <row r="394" spans="1:5" ht="45">
      <c r="A394" s="83" t="s">
        <v>391</v>
      </c>
      <c r="B394" s="172" t="s">
        <v>589</v>
      </c>
      <c r="C394" s="172" t="s">
        <v>589</v>
      </c>
      <c r="D394" s="184">
        <f>7032/1000</f>
        <v>7.032</v>
      </c>
      <c r="E394" s="179" t="s">
        <v>582</v>
      </c>
    </row>
    <row r="395" spans="1:5" ht="45">
      <c r="A395" s="83" t="s">
        <v>391</v>
      </c>
      <c r="B395" s="172" t="s">
        <v>588</v>
      </c>
      <c r="C395" s="172" t="s">
        <v>588</v>
      </c>
      <c r="D395" s="184">
        <f>18787.2/1000</f>
        <v>18.787200000000002</v>
      </c>
      <c r="E395" s="179" t="s">
        <v>582</v>
      </c>
    </row>
    <row r="396" spans="1:5" ht="45">
      <c r="A396" s="83" t="s">
        <v>391</v>
      </c>
      <c r="B396" s="172" t="s">
        <v>587</v>
      </c>
      <c r="C396" s="172" t="s">
        <v>587</v>
      </c>
      <c r="D396" s="184">
        <f>14418/1000</f>
        <v>14.417999999999999</v>
      </c>
      <c r="E396" s="179" t="s">
        <v>582</v>
      </c>
    </row>
    <row r="397" spans="1:5" ht="45">
      <c r="A397" s="83" t="s">
        <v>391</v>
      </c>
      <c r="B397" s="172" t="s">
        <v>586</v>
      </c>
      <c r="C397" s="172" t="s">
        <v>586</v>
      </c>
      <c r="D397" s="184">
        <f>5479.2/1000</f>
        <v>5.4791999999999996</v>
      </c>
      <c r="E397" s="179" t="s">
        <v>582</v>
      </c>
    </row>
    <row r="398" spans="1:5" ht="45">
      <c r="A398" s="83" t="s">
        <v>391</v>
      </c>
      <c r="B398" s="172" t="s">
        <v>585</v>
      </c>
      <c r="C398" s="172" t="s">
        <v>585</v>
      </c>
      <c r="D398" s="184">
        <f>7045.2/1000</f>
        <v>7.0451999999999995</v>
      </c>
      <c r="E398" s="179" t="s">
        <v>582</v>
      </c>
    </row>
    <row r="399" spans="1:5" ht="30">
      <c r="A399" s="83" t="s">
        <v>391</v>
      </c>
      <c r="B399" s="172" t="s">
        <v>584</v>
      </c>
      <c r="C399" s="172" t="s">
        <v>584</v>
      </c>
      <c r="D399" s="184">
        <f>5743.2/1000</f>
        <v>5.7431999999999999</v>
      </c>
      <c r="E399" s="179" t="s">
        <v>582</v>
      </c>
    </row>
    <row r="400" spans="1:5" ht="45">
      <c r="A400" s="83" t="s">
        <v>391</v>
      </c>
      <c r="B400" s="172" t="s">
        <v>583</v>
      </c>
      <c r="C400" s="172" t="s">
        <v>583</v>
      </c>
      <c r="D400" s="184">
        <f>18298.8/1000</f>
        <v>18.2988</v>
      </c>
      <c r="E400" s="179" t="s">
        <v>582</v>
      </c>
    </row>
    <row r="401" spans="1:5" ht="45">
      <c r="A401" s="83" t="s">
        <v>391</v>
      </c>
      <c r="B401" s="172" t="s">
        <v>581</v>
      </c>
      <c r="C401" s="172" t="s">
        <v>581</v>
      </c>
      <c r="D401" s="184">
        <f>103201.76/1000</f>
        <v>103.20175999999999</v>
      </c>
      <c r="E401" s="179" t="s">
        <v>440</v>
      </c>
    </row>
    <row r="402" spans="1:5" ht="60">
      <c r="A402" s="83" t="s">
        <v>391</v>
      </c>
      <c r="B402" s="172" t="s">
        <v>580</v>
      </c>
      <c r="C402" s="172" t="s">
        <v>580</v>
      </c>
      <c r="D402" s="184">
        <f>198596.24/1000</f>
        <v>198.59623999999999</v>
      </c>
      <c r="E402" s="179" t="s">
        <v>440</v>
      </c>
    </row>
    <row r="403" spans="1:5" ht="60">
      <c r="A403" s="83" t="s">
        <v>391</v>
      </c>
      <c r="B403" s="172" t="s">
        <v>579</v>
      </c>
      <c r="C403" s="172" t="s">
        <v>579</v>
      </c>
      <c r="D403" s="184">
        <f>33975/1000</f>
        <v>33.975000000000001</v>
      </c>
      <c r="E403" s="179" t="s">
        <v>432</v>
      </c>
    </row>
    <row r="404" spans="1:5" ht="60">
      <c r="A404" s="83" t="s">
        <v>391</v>
      </c>
      <c r="B404" s="172" t="s">
        <v>578</v>
      </c>
      <c r="C404" s="172" t="s">
        <v>578</v>
      </c>
      <c r="D404" s="184">
        <f>36864/1000</f>
        <v>36.863999999999997</v>
      </c>
      <c r="E404" s="179" t="s">
        <v>577</v>
      </c>
    </row>
    <row r="405" spans="1:5" ht="45">
      <c r="A405" s="83" t="s">
        <v>391</v>
      </c>
      <c r="B405" s="172" t="s">
        <v>576</v>
      </c>
      <c r="C405" s="172" t="s">
        <v>576</v>
      </c>
      <c r="D405" s="184">
        <f>180952/1000</f>
        <v>180.952</v>
      </c>
      <c r="E405" s="179" t="s">
        <v>425</v>
      </c>
    </row>
    <row r="406" spans="1:5" ht="45">
      <c r="A406" s="83" t="s">
        <v>391</v>
      </c>
      <c r="B406" s="172" t="s">
        <v>575</v>
      </c>
      <c r="C406" s="172" t="s">
        <v>575</v>
      </c>
      <c r="D406" s="184">
        <f>10190/1000</f>
        <v>10.19</v>
      </c>
      <c r="E406" s="179" t="s">
        <v>565</v>
      </c>
    </row>
    <row r="407" spans="1:5" ht="30">
      <c r="A407" s="83" t="s">
        <v>391</v>
      </c>
      <c r="B407" s="172" t="s">
        <v>574</v>
      </c>
      <c r="C407" s="172" t="s">
        <v>574</v>
      </c>
      <c r="D407" s="184">
        <f>8688/1000</f>
        <v>8.6880000000000006</v>
      </c>
      <c r="E407" s="179" t="s">
        <v>565</v>
      </c>
    </row>
    <row r="408" spans="1:5" ht="30">
      <c r="A408" s="83" t="s">
        <v>391</v>
      </c>
      <c r="B408" s="172" t="s">
        <v>573</v>
      </c>
      <c r="C408" s="172" t="s">
        <v>573</v>
      </c>
      <c r="D408" s="184">
        <f>9888/1000</f>
        <v>9.8879999999999999</v>
      </c>
      <c r="E408" s="179" t="s">
        <v>565</v>
      </c>
    </row>
    <row r="409" spans="1:5" ht="30">
      <c r="A409" s="83" t="s">
        <v>391</v>
      </c>
      <c r="B409" s="172" t="s">
        <v>572</v>
      </c>
      <c r="C409" s="172" t="s">
        <v>572</v>
      </c>
      <c r="D409" s="184">
        <f>5550/1000</f>
        <v>5.55</v>
      </c>
      <c r="E409" s="179" t="s">
        <v>565</v>
      </c>
    </row>
    <row r="410" spans="1:5" ht="45">
      <c r="A410" s="83" t="s">
        <v>391</v>
      </c>
      <c r="B410" s="172" t="s">
        <v>571</v>
      </c>
      <c r="C410" s="172" t="s">
        <v>571</v>
      </c>
      <c r="D410" s="184">
        <f>30700/1000</f>
        <v>30.7</v>
      </c>
      <c r="E410" s="179" t="s">
        <v>565</v>
      </c>
    </row>
    <row r="411" spans="1:5" ht="45">
      <c r="A411" s="83" t="s">
        <v>391</v>
      </c>
      <c r="B411" s="172" t="s">
        <v>570</v>
      </c>
      <c r="C411" s="172" t="s">
        <v>570</v>
      </c>
      <c r="D411" s="184">
        <f>103900/1000</f>
        <v>103.9</v>
      </c>
      <c r="E411" s="179" t="s">
        <v>565</v>
      </c>
    </row>
    <row r="412" spans="1:5" ht="60">
      <c r="A412" s="83" t="s">
        <v>391</v>
      </c>
      <c r="B412" s="172" t="s">
        <v>569</v>
      </c>
      <c r="C412" s="172" t="s">
        <v>569</v>
      </c>
      <c r="D412" s="184">
        <f>77600/1000</f>
        <v>77.599999999999994</v>
      </c>
      <c r="E412" s="179" t="s">
        <v>565</v>
      </c>
    </row>
    <row r="413" spans="1:5" ht="30">
      <c r="A413" s="83" t="s">
        <v>391</v>
      </c>
      <c r="B413" s="172" t="s">
        <v>568</v>
      </c>
      <c r="C413" s="172" t="s">
        <v>568</v>
      </c>
      <c r="D413" s="184">
        <f>98899/1000</f>
        <v>98.899000000000001</v>
      </c>
      <c r="E413" s="179" t="s">
        <v>565</v>
      </c>
    </row>
    <row r="414" spans="1:5" ht="45">
      <c r="A414" s="83" t="s">
        <v>391</v>
      </c>
      <c r="B414" s="172" t="s">
        <v>567</v>
      </c>
      <c r="C414" s="172" t="s">
        <v>567</v>
      </c>
      <c r="D414" s="184">
        <f>108060/1000</f>
        <v>108.06</v>
      </c>
      <c r="E414" s="179" t="s">
        <v>565</v>
      </c>
    </row>
    <row r="415" spans="1:5" ht="45">
      <c r="A415" s="83" t="s">
        <v>391</v>
      </c>
      <c r="B415" s="172" t="s">
        <v>566</v>
      </c>
      <c r="C415" s="172" t="s">
        <v>566</v>
      </c>
      <c r="D415" s="184">
        <f>113085/1000</f>
        <v>113.08499999999999</v>
      </c>
      <c r="E415" s="179" t="s">
        <v>565</v>
      </c>
    </row>
    <row r="416" spans="1:5" ht="45">
      <c r="A416" s="83" t="s">
        <v>391</v>
      </c>
      <c r="B416" s="172" t="s">
        <v>564</v>
      </c>
      <c r="C416" s="172" t="s">
        <v>564</v>
      </c>
      <c r="D416" s="184">
        <f>176134.75/1000</f>
        <v>176.13475</v>
      </c>
      <c r="E416" s="179" t="s">
        <v>562</v>
      </c>
    </row>
    <row r="417" spans="1:5" ht="45">
      <c r="A417" s="83" t="s">
        <v>391</v>
      </c>
      <c r="B417" s="172" t="s">
        <v>563</v>
      </c>
      <c r="C417" s="172" t="s">
        <v>563</v>
      </c>
      <c r="D417" s="184">
        <f>63366.53/1000</f>
        <v>63.366529999999997</v>
      </c>
      <c r="E417" s="179" t="s">
        <v>562</v>
      </c>
    </row>
    <row r="418" spans="1:5" ht="30">
      <c r="A418" s="83" t="s">
        <v>391</v>
      </c>
      <c r="B418" s="172" t="s">
        <v>561</v>
      </c>
      <c r="C418" s="172" t="s">
        <v>561</v>
      </c>
      <c r="D418" s="184">
        <f>90951/1000</f>
        <v>90.950999999999993</v>
      </c>
      <c r="E418" s="179" t="s">
        <v>559</v>
      </c>
    </row>
    <row r="419" spans="1:5" ht="30">
      <c r="A419" s="109" t="s">
        <v>391</v>
      </c>
      <c r="B419" s="177" t="s">
        <v>560</v>
      </c>
      <c r="C419" s="177" t="s">
        <v>560</v>
      </c>
      <c r="D419" s="183">
        <f>91214/1000</f>
        <v>91.213999999999999</v>
      </c>
      <c r="E419" s="182" t="s">
        <v>559</v>
      </c>
    </row>
    <row r="420" spans="1:5" ht="45">
      <c r="A420" s="83" t="s">
        <v>391</v>
      </c>
      <c r="B420" s="172" t="s">
        <v>558</v>
      </c>
      <c r="C420" s="172" t="s">
        <v>558</v>
      </c>
      <c r="D420" s="181">
        <f>100967/1000</f>
        <v>100.967</v>
      </c>
      <c r="E420" s="83" t="s">
        <v>557</v>
      </c>
    </row>
    <row r="421" spans="1:5">
      <c r="A421" s="179" t="s">
        <v>391</v>
      </c>
      <c r="B421" s="78"/>
      <c r="C421" s="78"/>
      <c r="D421" s="180">
        <f>(8658.15+115222.98+147503.84)/1000</f>
        <v>271.38496999999995</v>
      </c>
      <c r="E421" s="172" t="s">
        <v>556</v>
      </c>
    </row>
    <row r="422" spans="1:5" ht="30">
      <c r="A422" s="179" t="s">
        <v>391</v>
      </c>
      <c r="B422" s="172"/>
      <c r="C422" s="172" t="s">
        <v>555</v>
      </c>
      <c r="D422" s="178">
        <f>155822.86/1000</f>
        <v>155.82285999999999</v>
      </c>
      <c r="E422" s="102"/>
    </row>
    <row r="423" spans="1:5" ht="30">
      <c r="A423" s="83" t="s">
        <v>391</v>
      </c>
      <c r="B423" s="177" t="s">
        <v>554</v>
      </c>
      <c r="C423" s="177" t="s">
        <v>554</v>
      </c>
      <c r="D423" s="176">
        <f>19476/1000</f>
        <v>19.475999999999999</v>
      </c>
      <c r="E423" s="119" t="s">
        <v>544</v>
      </c>
    </row>
    <row r="424" spans="1:5" ht="30">
      <c r="A424" s="83" t="s">
        <v>391</v>
      </c>
      <c r="B424" s="177" t="s">
        <v>553</v>
      </c>
      <c r="C424" s="177" t="s">
        <v>553</v>
      </c>
      <c r="D424" s="176">
        <f>33288/1000</f>
        <v>33.287999999999997</v>
      </c>
      <c r="E424" s="119" t="s">
        <v>544</v>
      </c>
    </row>
    <row r="425" spans="1:5" ht="30">
      <c r="A425" s="83" t="s">
        <v>391</v>
      </c>
      <c r="B425" s="177" t="s">
        <v>552</v>
      </c>
      <c r="C425" s="177" t="s">
        <v>552</v>
      </c>
      <c r="D425" s="176">
        <f>148231.2/1000</f>
        <v>148.2312</v>
      </c>
      <c r="E425" s="119" t="s">
        <v>544</v>
      </c>
    </row>
    <row r="426" spans="1:5" ht="30">
      <c r="A426" s="83" t="s">
        <v>391</v>
      </c>
      <c r="B426" s="177" t="s">
        <v>551</v>
      </c>
      <c r="C426" s="177" t="s">
        <v>551</v>
      </c>
      <c r="D426" s="176">
        <f>73780.8/1000</f>
        <v>73.780799999999999</v>
      </c>
      <c r="E426" s="119" t="s">
        <v>544</v>
      </c>
    </row>
    <row r="427" spans="1:5" ht="30">
      <c r="A427" s="83" t="s">
        <v>391</v>
      </c>
      <c r="B427" s="177" t="s">
        <v>550</v>
      </c>
      <c r="C427" s="177" t="s">
        <v>550</v>
      </c>
      <c r="D427" s="176">
        <f>57765.88/1000</f>
        <v>57.765879999999996</v>
      </c>
      <c r="E427" s="119" t="s">
        <v>544</v>
      </c>
    </row>
    <row r="428" spans="1:5" ht="30">
      <c r="A428" s="83" t="s">
        <v>391</v>
      </c>
      <c r="B428" s="177" t="s">
        <v>549</v>
      </c>
      <c r="C428" s="177" t="s">
        <v>549</v>
      </c>
      <c r="D428" s="176">
        <f>50927.57/1000</f>
        <v>50.927570000000003</v>
      </c>
      <c r="E428" s="119" t="s">
        <v>544</v>
      </c>
    </row>
    <row r="429" spans="1:5" ht="45">
      <c r="A429" s="83" t="s">
        <v>391</v>
      </c>
      <c r="B429" s="177" t="s">
        <v>548</v>
      </c>
      <c r="C429" s="177" t="s">
        <v>548</v>
      </c>
      <c r="D429" s="176">
        <f>73860/1000</f>
        <v>73.86</v>
      </c>
      <c r="E429" s="119" t="s">
        <v>544</v>
      </c>
    </row>
    <row r="430" spans="1:5" ht="45">
      <c r="A430" s="83" t="s">
        <v>391</v>
      </c>
      <c r="B430" s="177" t="s">
        <v>547</v>
      </c>
      <c r="C430" s="177" t="s">
        <v>547</v>
      </c>
      <c r="D430" s="176">
        <f>60108/1000</f>
        <v>60.107999999999997</v>
      </c>
      <c r="E430" s="119" t="s">
        <v>544</v>
      </c>
    </row>
    <row r="431" spans="1:5" ht="45">
      <c r="A431" s="83" t="s">
        <v>391</v>
      </c>
      <c r="B431" s="177" t="s">
        <v>546</v>
      </c>
      <c r="C431" s="177" t="s">
        <v>546</v>
      </c>
      <c r="D431" s="176">
        <f>19344/1000</f>
        <v>19.344000000000001</v>
      </c>
      <c r="E431" s="119" t="s">
        <v>544</v>
      </c>
    </row>
    <row r="432" spans="1:5" ht="30">
      <c r="A432" s="83" t="s">
        <v>391</v>
      </c>
      <c r="B432" s="177" t="s">
        <v>545</v>
      </c>
      <c r="C432" s="177" t="s">
        <v>545</v>
      </c>
      <c r="D432" s="176">
        <f>38978.4/1000</f>
        <v>38.978400000000001</v>
      </c>
      <c r="E432" s="119" t="s">
        <v>544</v>
      </c>
    </row>
    <row r="433" spans="1:5" ht="45">
      <c r="A433" s="83" t="s">
        <v>391</v>
      </c>
      <c r="B433" s="177" t="s">
        <v>543</v>
      </c>
      <c r="C433" s="177" t="s">
        <v>543</v>
      </c>
      <c r="D433" s="176">
        <f>71318.66/1000</f>
        <v>71.318660000000008</v>
      </c>
      <c r="E433" s="119" t="s">
        <v>539</v>
      </c>
    </row>
    <row r="434" spans="1:5" ht="30">
      <c r="A434" s="83" t="s">
        <v>391</v>
      </c>
      <c r="B434" s="177" t="s">
        <v>542</v>
      </c>
      <c r="C434" s="177" t="s">
        <v>542</v>
      </c>
      <c r="D434" s="176">
        <f>71318.66/1000</f>
        <v>71.318660000000008</v>
      </c>
      <c r="E434" s="119" t="s">
        <v>539</v>
      </c>
    </row>
    <row r="435" spans="1:5" ht="30">
      <c r="A435" s="83" t="s">
        <v>391</v>
      </c>
      <c r="B435" s="177" t="s">
        <v>541</v>
      </c>
      <c r="C435" s="177" t="s">
        <v>541</v>
      </c>
      <c r="D435" s="176">
        <f>80258.71/1000</f>
        <v>80.258710000000008</v>
      </c>
      <c r="E435" s="119" t="s">
        <v>539</v>
      </c>
    </row>
    <row r="436" spans="1:5" ht="30">
      <c r="A436" s="83" t="s">
        <v>391</v>
      </c>
      <c r="B436" s="177" t="s">
        <v>540</v>
      </c>
      <c r="C436" s="177" t="s">
        <v>540</v>
      </c>
      <c r="D436" s="176">
        <f>196039.61/1000</f>
        <v>196.03960999999998</v>
      </c>
      <c r="E436" s="119" t="s">
        <v>539</v>
      </c>
    </row>
    <row r="437" spans="1:5" ht="30">
      <c r="A437" s="83" t="s">
        <v>391</v>
      </c>
      <c r="B437" s="177" t="s">
        <v>538</v>
      </c>
      <c r="C437" s="177" t="s">
        <v>538</v>
      </c>
      <c r="D437" s="176">
        <f>7500/1000</f>
        <v>7.5</v>
      </c>
      <c r="E437" s="119" t="s">
        <v>508</v>
      </c>
    </row>
    <row r="438" spans="1:5" ht="45">
      <c r="A438" s="83" t="s">
        <v>391</v>
      </c>
      <c r="B438" s="177" t="s">
        <v>537</v>
      </c>
      <c r="C438" s="177" t="s">
        <v>537</v>
      </c>
      <c r="D438" s="176">
        <f>16064.4/1000</f>
        <v>16.064399999999999</v>
      </c>
      <c r="E438" s="119" t="s">
        <v>508</v>
      </c>
    </row>
    <row r="439" spans="1:5" ht="30">
      <c r="A439" s="83" t="s">
        <v>391</v>
      </c>
      <c r="B439" s="177" t="s">
        <v>536</v>
      </c>
      <c r="C439" s="177" t="s">
        <v>536</v>
      </c>
      <c r="D439" s="176">
        <f>17594.4/1000</f>
        <v>17.5944</v>
      </c>
      <c r="E439" s="119" t="s">
        <v>508</v>
      </c>
    </row>
    <row r="440" spans="1:5" ht="45">
      <c r="A440" s="83" t="s">
        <v>391</v>
      </c>
      <c r="B440" s="177" t="s">
        <v>535</v>
      </c>
      <c r="C440" s="177" t="s">
        <v>535</v>
      </c>
      <c r="D440" s="176">
        <f>23590.8/1000</f>
        <v>23.590799999999998</v>
      </c>
      <c r="E440" s="119" t="s">
        <v>508</v>
      </c>
    </row>
    <row r="441" spans="1:5" ht="30">
      <c r="A441" s="83" t="s">
        <v>391</v>
      </c>
      <c r="B441" s="177" t="s">
        <v>534</v>
      </c>
      <c r="C441" s="177" t="s">
        <v>534</v>
      </c>
      <c r="D441" s="176">
        <f>10528.8/1000</f>
        <v>10.528799999999999</v>
      </c>
      <c r="E441" s="119" t="s">
        <v>508</v>
      </c>
    </row>
    <row r="442" spans="1:5" ht="30">
      <c r="A442" s="83" t="s">
        <v>391</v>
      </c>
      <c r="B442" s="177" t="s">
        <v>533</v>
      </c>
      <c r="C442" s="177" t="s">
        <v>533</v>
      </c>
      <c r="D442" s="176">
        <f>16748.4/1000</f>
        <v>16.7484</v>
      </c>
      <c r="E442" s="119" t="s">
        <v>508</v>
      </c>
    </row>
    <row r="443" spans="1:5" ht="30">
      <c r="A443" s="83" t="s">
        <v>391</v>
      </c>
      <c r="B443" s="177" t="s">
        <v>532</v>
      </c>
      <c r="C443" s="177" t="s">
        <v>532</v>
      </c>
      <c r="D443" s="176">
        <f>5180.4/1000</f>
        <v>5.1803999999999997</v>
      </c>
      <c r="E443" s="119" t="s">
        <v>508</v>
      </c>
    </row>
    <row r="444" spans="1:5" ht="30">
      <c r="A444" s="83" t="s">
        <v>391</v>
      </c>
      <c r="B444" s="177" t="s">
        <v>531</v>
      </c>
      <c r="C444" s="177" t="s">
        <v>531</v>
      </c>
      <c r="D444" s="176">
        <f>13305.6/1000</f>
        <v>13.3056</v>
      </c>
      <c r="E444" s="119" t="s">
        <v>508</v>
      </c>
    </row>
    <row r="445" spans="1:5" ht="30">
      <c r="A445" s="83" t="s">
        <v>391</v>
      </c>
      <c r="B445" s="177" t="s">
        <v>530</v>
      </c>
      <c r="C445" s="177" t="s">
        <v>530</v>
      </c>
      <c r="D445" s="176">
        <f>41952/1000</f>
        <v>41.951999999999998</v>
      </c>
      <c r="E445" s="119" t="s">
        <v>508</v>
      </c>
    </row>
    <row r="446" spans="1:5" ht="30">
      <c r="A446" s="83" t="s">
        <v>391</v>
      </c>
      <c r="B446" s="177" t="s">
        <v>529</v>
      </c>
      <c r="C446" s="177" t="s">
        <v>529</v>
      </c>
      <c r="D446" s="176">
        <f>3391.2/1000</f>
        <v>3.3912</v>
      </c>
      <c r="E446" s="119" t="s">
        <v>508</v>
      </c>
    </row>
    <row r="447" spans="1:5" ht="30">
      <c r="A447" s="83" t="s">
        <v>391</v>
      </c>
      <c r="B447" s="177" t="s">
        <v>528</v>
      </c>
      <c r="C447" s="177" t="s">
        <v>528</v>
      </c>
      <c r="D447" s="176">
        <f>4632/1000</f>
        <v>4.6319999999999997</v>
      </c>
      <c r="E447" s="119" t="s">
        <v>508</v>
      </c>
    </row>
    <row r="448" spans="1:5" ht="30">
      <c r="A448" s="83" t="s">
        <v>391</v>
      </c>
      <c r="B448" s="177" t="s">
        <v>527</v>
      </c>
      <c r="C448" s="177" t="s">
        <v>527</v>
      </c>
      <c r="D448" s="176">
        <f>9145.2/1000</f>
        <v>9.1452000000000009</v>
      </c>
      <c r="E448" s="119" t="s">
        <v>508</v>
      </c>
    </row>
    <row r="449" spans="1:5" ht="30">
      <c r="A449" s="83" t="s">
        <v>391</v>
      </c>
      <c r="B449" s="177" t="s">
        <v>526</v>
      </c>
      <c r="C449" s="177" t="s">
        <v>526</v>
      </c>
      <c r="D449" s="176">
        <f>3943.2/1000</f>
        <v>3.9432</v>
      </c>
      <c r="E449" s="119" t="s">
        <v>508</v>
      </c>
    </row>
    <row r="450" spans="1:5" ht="30">
      <c r="A450" s="83" t="s">
        <v>391</v>
      </c>
      <c r="B450" s="177" t="s">
        <v>525</v>
      </c>
      <c r="C450" s="177" t="s">
        <v>525</v>
      </c>
      <c r="D450" s="176">
        <f>12014.4/1000</f>
        <v>12.0144</v>
      </c>
      <c r="E450" s="119" t="s">
        <v>508</v>
      </c>
    </row>
    <row r="451" spans="1:5" ht="30">
      <c r="A451" s="83" t="s">
        <v>391</v>
      </c>
      <c r="B451" s="177" t="s">
        <v>524</v>
      </c>
      <c r="C451" s="177" t="s">
        <v>524</v>
      </c>
      <c r="D451" s="176">
        <f>7503.6/1000</f>
        <v>7.5036000000000005</v>
      </c>
      <c r="E451" s="119" t="s">
        <v>508</v>
      </c>
    </row>
    <row r="452" spans="1:5" ht="45">
      <c r="A452" s="83" t="s">
        <v>391</v>
      </c>
      <c r="B452" s="177" t="s">
        <v>523</v>
      </c>
      <c r="C452" s="177" t="s">
        <v>523</v>
      </c>
      <c r="D452" s="176">
        <f>13012.8/1000</f>
        <v>13.012799999999999</v>
      </c>
      <c r="E452" s="119" t="s">
        <v>508</v>
      </c>
    </row>
    <row r="453" spans="1:5" ht="45">
      <c r="A453" s="83" t="s">
        <v>391</v>
      </c>
      <c r="B453" s="177" t="s">
        <v>522</v>
      </c>
      <c r="C453" s="177" t="s">
        <v>522</v>
      </c>
      <c r="D453" s="176">
        <f>11712/1000</f>
        <v>11.712</v>
      </c>
      <c r="E453" s="119" t="s">
        <v>508</v>
      </c>
    </row>
    <row r="454" spans="1:5" ht="30">
      <c r="A454" s="83" t="s">
        <v>391</v>
      </c>
      <c r="B454" s="177" t="s">
        <v>521</v>
      </c>
      <c r="C454" s="177" t="s">
        <v>521</v>
      </c>
      <c r="D454" s="176">
        <f>8054.4/1000</f>
        <v>8.0543999999999993</v>
      </c>
      <c r="E454" s="119" t="s">
        <v>508</v>
      </c>
    </row>
    <row r="455" spans="1:5" ht="30">
      <c r="A455" s="83" t="s">
        <v>391</v>
      </c>
      <c r="B455" s="177" t="s">
        <v>520</v>
      </c>
      <c r="C455" s="177" t="s">
        <v>520</v>
      </c>
      <c r="D455" s="176">
        <f>11796/1000</f>
        <v>11.795999999999999</v>
      </c>
      <c r="E455" s="119" t="s">
        <v>508</v>
      </c>
    </row>
    <row r="456" spans="1:5" ht="30">
      <c r="A456" s="83" t="s">
        <v>391</v>
      </c>
      <c r="B456" s="177" t="s">
        <v>519</v>
      </c>
      <c r="C456" s="177" t="s">
        <v>519</v>
      </c>
      <c r="D456" s="176">
        <f>6012/1000</f>
        <v>6.0119999999999996</v>
      </c>
      <c r="E456" s="119" t="s">
        <v>508</v>
      </c>
    </row>
    <row r="457" spans="1:5" ht="45">
      <c r="A457" s="83" t="s">
        <v>391</v>
      </c>
      <c r="B457" s="177" t="s">
        <v>518</v>
      </c>
      <c r="C457" s="177" t="s">
        <v>518</v>
      </c>
      <c r="D457" s="176">
        <f>17196/1000</f>
        <v>17.196000000000002</v>
      </c>
      <c r="E457" s="119" t="s">
        <v>508</v>
      </c>
    </row>
    <row r="458" spans="1:5" ht="45">
      <c r="A458" s="83" t="s">
        <v>391</v>
      </c>
      <c r="B458" s="177" t="s">
        <v>517</v>
      </c>
      <c r="C458" s="177" t="s">
        <v>517</v>
      </c>
      <c r="D458" s="176">
        <f>9974.4/1000</f>
        <v>9.9743999999999993</v>
      </c>
      <c r="E458" s="119" t="s">
        <v>508</v>
      </c>
    </row>
    <row r="459" spans="1:5" ht="45">
      <c r="A459" s="83" t="s">
        <v>391</v>
      </c>
      <c r="B459" s="177" t="s">
        <v>516</v>
      </c>
      <c r="C459" s="177" t="s">
        <v>516</v>
      </c>
      <c r="D459" s="176">
        <f>10077.6/1000</f>
        <v>10.0776</v>
      </c>
      <c r="E459" s="119" t="s">
        <v>508</v>
      </c>
    </row>
    <row r="460" spans="1:5" ht="45">
      <c r="A460" s="83" t="s">
        <v>391</v>
      </c>
      <c r="B460" s="177" t="s">
        <v>515</v>
      </c>
      <c r="C460" s="177" t="s">
        <v>515</v>
      </c>
      <c r="D460" s="176">
        <f>11845.2/1000</f>
        <v>11.8452</v>
      </c>
      <c r="E460" s="119" t="s">
        <v>508</v>
      </c>
    </row>
    <row r="461" spans="1:5" ht="30">
      <c r="A461" s="83" t="s">
        <v>391</v>
      </c>
      <c r="B461" s="177" t="s">
        <v>514</v>
      </c>
      <c r="C461" s="177" t="s">
        <v>514</v>
      </c>
      <c r="D461" s="176">
        <f>10656/1000</f>
        <v>10.656000000000001</v>
      </c>
      <c r="E461" s="119" t="s">
        <v>508</v>
      </c>
    </row>
    <row r="462" spans="1:5" ht="30">
      <c r="A462" s="83" t="s">
        <v>391</v>
      </c>
      <c r="B462" s="177" t="s">
        <v>513</v>
      </c>
      <c r="C462" s="177" t="s">
        <v>513</v>
      </c>
      <c r="D462" s="176">
        <f>6340.8/1000</f>
        <v>6.3407999999999998</v>
      </c>
      <c r="E462" s="119" t="s">
        <v>508</v>
      </c>
    </row>
    <row r="463" spans="1:5" ht="45">
      <c r="A463" s="83" t="s">
        <v>391</v>
      </c>
      <c r="B463" s="177" t="s">
        <v>512</v>
      </c>
      <c r="C463" s="177" t="s">
        <v>512</v>
      </c>
      <c r="D463" s="176">
        <f>8257.2/1000</f>
        <v>8.257200000000001</v>
      </c>
      <c r="E463" s="119" t="s">
        <v>508</v>
      </c>
    </row>
    <row r="464" spans="1:5" ht="30">
      <c r="A464" s="83" t="s">
        <v>391</v>
      </c>
      <c r="B464" s="177" t="s">
        <v>511</v>
      </c>
      <c r="C464" s="177" t="s">
        <v>511</v>
      </c>
      <c r="D464" s="176">
        <f>19096.8/1000</f>
        <v>19.096799999999998</v>
      </c>
      <c r="E464" s="119" t="s">
        <v>508</v>
      </c>
    </row>
    <row r="465" spans="1:5" ht="45">
      <c r="A465" s="83" t="s">
        <v>391</v>
      </c>
      <c r="B465" s="177" t="s">
        <v>510</v>
      </c>
      <c r="C465" s="177" t="s">
        <v>510</v>
      </c>
      <c r="D465" s="176">
        <f>2673.6/1000</f>
        <v>2.6736</v>
      </c>
      <c r="E465" s="119" t="s">
        <v>508</v>
      </c>
    </row>
    <row r="466" spans="1:5" ht="45">
      <c r="A466" s="83" t="s">
        <v>391</v>
      </c>
      <c r="B466" s="177" t="s">
        <v>509</v>
      </c>
      <c r="C466" s="177" t="s">
        <v>509</v>
      </c>
      <c r="D466" s="176">
        <f>13858.8/1000</f>
        <v>13.858799999999999</v>
      </c>
      <c r="E466" s="119" t="s">
        <v>508</v>
      </c>
    </row>
    <row r="467" spans="1:5" ht="45">
      <c r="A467" s="83" t="s">
        <v>391</v>
      </c>
      <c r="B467" s="177" t="s">
        <v>507</v>
      </c>
      <c r="C467" s="177" t="s">
        <v>507</v>
      </c>
      <c r="D467" s="176">
        <f>140696.17/1000</f>
        <v>140.69617000000002</v>
      </c>
      <c r="E467" s="119" t="s">
        <v>504</v>
      </c>
    </row>
    <row r="468" spans="1:5" ht="45">
      <c r="A468" s="83" t="s">
        <v>391</v>
      </c>
      <c r="B468" s="177" t="s">
        <v>506</v>
      </c>
      <c r="C468" s="177" t="s">
        <v>506</v>
      </c>
      <c r="D468" s="176">
        <f>115616.75/1000</f>
        <v>115.61675</v>
      </c>
      <c r="E468" s="119" t="s">
        <v>504</v>
      </c>
    </row>
    <row r="469" spans="1:5" ht="45">
      <c r="A469" s="83" t="s">
        <v>391</v>
      </c>
      <c r="B469" s="177" t="s">
        <v>506</v>
      </c>
      <c r="C469" s="177" t="s">
        <v>506</v>
      </c>
      <c r="D469" s="176">
        <f>64354.45/1000</f>
        <v>64.35445</v>
      </c>
      <c r="E469" s="119" t="s">
        <v>504</v>
      </c>
    </row>
    <row r="470" spans="1:5" ht="45">
      <c r="A470" s="83" t="s">
        <v>391</v>
      </c>
      <c r="B470" s="177" t="s">
        <v>505</v>
      </c>
      <c r="C470" s="177" t="s">
        <v>505</v>
      </c>
      <c r="D470" s="176">
        <f>38536.02/1000</f>
        <v>38.536019999999994</v>
      </c>
      <c r="E470" s="119" t="s">
        <v>504</v>
      </c>
    </row>
    <row r="471" spans="1:5" ht="45">
      <c r="A471" s="83" t="s">
        <v>391</v>
      </c>
      <c r="B471" s="177" t="s">
        <v>505</v>
      </c>
      <c r="C471" s="177" t="s">
        <v>505</v>
      </c>
      <c r="D471" s="176">
        <f>141395.56/1000</f>
        <v>141.39555999999999</v>
      </c>
      <c r="E471" s="119" t="s">
        <v>504</v>
      </c>
    </row>
    <row r="472" spans="1:5" ht="30">
      <c r="A472" s="83" t="s">
        <v>391</v>
      </c>
      <c r="B472" s="177" t="s">
        <v>503</v>
      </c>
      <c r="C472" s="177" t="s">
        <v>503</v>
      </c>
      <c r="D472" s="176">
        <f>193806/1000</f>
        <v>193.80600000000001</v>
      </c>
      <c r="E472" s="119" t="s">
        <v>500</v>
      </c>
    </row>
    <row r="473" spans="1:5" ht="45">
      <c r="A473" s="83" t="s">
        <v>391</v>
      </c>
      <c r="B473" s="177" t="s">
        <v>502</v>
      </c>
      <c r="C473" s="177" t="s">
        <v>502</v>
      </c>
      <c r="D473" s="176">
        <f>196428/1000</f>
        <v>196.428</v>
      </c>
      <c r="E473" s="119" t="s">
        <v>500</v>
      </c>
    </row>
    <row r="474" spans="1:5" ht="30">
      <c r="A474" s="83" t="s">
        <v>391</v>
      </c>
      <c r="B474" s="177" t="s">
        <v>501</v>
      </c>
      <c r="C474" s="177" t="s">
        <v>501</v>
      </c>
      <c r="D474" s="176">
        <f>176796/1000</f>
        <v>176.79599999999999</v>
      </c>
      <c r="E474" s="119" t="s">
        <v>500</v>
      </c>
    </row>
    <row r="475" spans="1:5" ht="45">
      <c r="A475" s="83" t="s">
        <v>391</v>
      </c>
      <c r="B475" s="177" t="s">
        <v>499</v>
      </c>
      <c r="C475" s="177" t="s">
        <v>499</v>
      </c>
      <c r="D475" s="176">
        <f>199955/1000</f>
        <v>199.95500000000001</v>
      </c>
      <c r="E475" s="119" t="s">
        <v>498</v>
      </c>
    </row>
    <row r="476" spans="1:5" ht="45">
      <c r="A476" s="83" t="s">
        <v>391</v>
      </c>
      <c r="B476" s="177" t="s">
        <v>497</v>
      </c>
      <c r="C476" s="177" t="s">
        <v>497</v>
      </c>
      <c r="D476" s="176">
        <f>116414/1000</f>
        <v>116.414</v>
      </c>
      <c r="E476" s="119" t="s">
        <v>494</v>
      </c>
    </row>
    <row r="477" spans="1:5" ht="45">
      <c r="A477" s="83" t="s">
        <v>391</v>
      </c>
      <c r="B477" s="177" t="s">
        <v>496</v>
      </c>
      <c r="C477" s="177" t="s">
        <v>496</v>
      </c>
      <c r="D477" s="176">
        <f>162106.13/1000</f>
        <v>162.10613000000001</v>
      </c>
      <c r="E477" s="119" t="s">
        <v>494</v>
      </c>
    </row>
    <row r="478" spans="1:5" ht="45">
      <c r="A478" s="83" t="s">
        <v>391</v>
      </c>
      <c r="B478" s="177" t="s">
        <v>495</v>
      </c>
      <c r="C478" s="177" t="s">
        <v>495</v>
      </c>
      <c r="D478" s="176">
        <f>47599.49/1000</f>
        <v>47.599489999999996</v>
      </c>
      <c r="E478" s="119" t="s">
        <v>494</v>
      </c>
    </row>
    <row r="479" spans="1:5" ht="30">
      <c r="A479" s="83" t="s">
        <v>391</v>
      </c>
      <c r="B479" s="177" t="s">
        <v>493</v>
      </c>
      <c r="C479" s="177" t="s">
        <v>493</v>
      </c>
      <c r="D479" s="176">
        <f>176227.86/1000</f>
        <v>176.22785999999999</v>
      </c>
      <c r="E479" s="119" t="s">
        <v>490</v>
      </c>
    </row>
    <row r="480" spans="1:5" ht="30">
      <c r="A480" s="83" t="s">
        <v>391</v>
      </c>
      <c r="B480" s="177" t="s">
        <v>492</v>
      </c>
      <c r="C480" s="177" t="s">
        <v>492</v>
      </c>
      <c r="D480" s="176">
        <f>196406.4/1000</f>
        <v>196.40639999999999</v>
      </c>
      <c r="E480" s="119" t="s">
        <v>490</v>
      </c>
    </row>
    <row r="481" spans="1:5" ht="30">
      <c r="A481" s="83" t="s">
        <v>391</v>
      </c>
      <c r="B481" s="177" t="s">
        <v>491</v>
      </c>
      <c r="C481" s="177" t="s">
        <v>491</v>
      </c>
      <c r="D481" s="176">
        <f>128613.38/1000</f>
        <v>128.61338000000001</v>
      </c>
      <c r="E481" s="119" t="s">
        <v>490</v>
      </c>
    </row>
    <row r="482" spans="1:5" ht="30">
      <c r="A482" s="83" t="s">
        <v>391</v>
      </c>
      <c r="B482" s="177" t="s">
        <v>489</v>
      </c>
      <c r="C482" s="177" t="s">
        <v>489</v>
      </c>
      <c r="D482" s="176">
        <f>154328.03/1000</f>
        <v>154.32803000000001</v>
      </c>
      <c r="E482" s="119" t="s">
        <v>487</v>
      </c>
    </row>
    <row r="483" spans="1:5" ht="30">
      <c r="A483" s="83" t="s">
        <v>391</v>
      </c>
      <c r="B483" s="177" t="s">
        <v>488</v>
      </c>
      <c r="C483" s="177" t="s">
        <v>488</v>
      </c>
      <c r="D483" s="176">
        <f>37053.64/1000</f>
        <v>37.053640000000001</v>
      </c>
      <c r="E483" s="119" t="s">
        <v>487</v>
      </c>
    </row>
    <row r="484" spans="1:5" ht="45">
      <c r="A484" s="83" t="s">
        <v>391</v>
      </c>
      <c r="B484" s="177" t="s">
        <v>486</v>
      </c>
      <c r="C484" s="177" t="s">
        <v>486</v>
      </c>
      <c r="D484" s="176">
        <f>195974.09/1000</f>
        <v>195.97408999999999</v>
      </c>
      <c r="E484" s="119" t="s">
        <v>485</v>
      </c>
    </row>
    <row r="485" spans="1:5" ht="45">
      <c r="A485" s="83" t="s">
        <v>391</v>
      </c>
      <c r="B485" s="177" t="s">
        <v>484</v>
      </c>
      <c r="C485" s="177" t="s">
        <v>484</v>
      </c>
      <c r="D485" s="176">
        <f>160246.58/1000</f>
        <v>160.24657999999999</v>
      </c>
      <c r="E485" s="119" t="s">
        <v>483</v>
      </c>
    </row>
    <row r="486" spans="1:5" ht="30">
      <c r="A486" s="83" t="s">
        <v>391</v>
      </c>
      <c r="B486" s="177" t="s">
        <v>482</v>
      </c>
      <c r="C486" s="177" t="s">
        <v>482</v>
      </c>
      <c r="D486" s="176">
        <f>196336/1000</f>
        <v>196.33600000000001</v>
      </c>
      <c r="E486" s="119" t="s">
        <v>480</v>
      </c>
    </row>
    <row r="487" spans="1:5" ht="45">
      <c r="A487" s="83" t="s">
        <v>391</v>
      </c>
      <c r="B487" s="177" t="s">
        <v>481</v>
      </c>
      <c r="C487" s="177" t="s">
        <v>481</v>
      </c>
      <c r="D487" s="176">
        <f>163470.09/1000</f>
        <v>163.47009</v>
      </c>
      <c r="E487" s="119" t="s">
        <v>480</v>
      </c>
    </row>
    <row r="488" spans="1:5" ht="45">
      <c r="A488" s="83" t="s">
        <v>391</v>
      </c>
      <c r="B488" s="177" t="s">
        <v>479</v>
      </c>
      <c r="C488" s="177" t="s">
        <v>479</v>
      </c>
      <c r="D488" s="176">
        <f>199988/1000</f>
        <v>199.988</v>
      </c>
      <c r="E488" s="119" t="s">
        <v>477</v>
      </c>
    </row>
    <row r="489" spans="1:5" ht="45">
      <c r="A489" s="83" t="s">
        <v>391</v>
      </c>
      <c r="B489" s="177" t="s">
        <v>478</v>
      </c>
      <c r="C489" s="177" t="s">
        <v>478</v>
      </c>
      <c r="D489" s="176">
        <f>199662/1000</f>
        <v>199.66200000000001</v>
      </c>
      <c r="E489" s="119" t="s">
        <v>477</v>
      </c>
    </row>
    <row r="490" spans="1:5" ht="30">
      <c r="A490" s="83" t="s">
        <v>391</v>
      </c>
      <c r="B490" s="177" t="s">
        <v>476</v>
      </c>
      <c r="C490" s="177" t="s">
        <v>476</v>
      </c>
      <c r="D490" s="176">
        <f>44726.48/1000</f>
        <v>44.726480000000002</v>
      </c>
      <c r="E490" s="119" t="s">
        <v>475</v>
      </c>
    </row>
    <row r="491" spans="1:5" ht="45">
      <c r="A491" s="83" t="s">
        <v>391</v>
      </c>
      <c r="B491" s="177" t="s">
        <v>474</v>
      </c>
      <c r="C491" s="177" t="s">
        <v>474</v>
      </c>
      <c r="D491" s="176">
        <f>15839.99/1000</f>
        <v>15.83999</v>
      </c>
      <c r="E491" s="119" t="s">
        <v>473</v>
      </c>
    </row>
    <row r="492" spans="1:5" ht="45">
      <c r="A492" s="83" t="s">
        <v>391</v>
      </c>
      <c r="B492" s="177" t="s">
        <v>472</v>
      </c>
      <c r="C492" s="177" t="s">
        <v>472</v>
      </c>
      <c r="D492" s="176">
        <f>199796.23/1000</f>
        <v>199.79623000000001</v>
      </c>
      <c r="E492" s="119" t="s">
        <v>471</v>
      </c>
    </row>
    <row r="493" spans="1:5" ht="30">
      <c r="A493" s="83" t="s">
        <v>391</v>
      </c>
      <c r="B493" s="177" t="s">
        <v>470</v>
      </c>
      <c r="C493" s="177" t="s">
        <v>470</v>
      </c>
      <c r="D493" s="176">
        <f>199985/1000</f>
        <v>199.98500000000001</v>
      </c>
      <c r="E493" s="119" t="s">
        <v>464</v>
      </c>
    </row>
    <row r="494" spans="1:5" ht="30">
      <c r="A494" s="83" t="s">
        <v>391</v>
      </c>
      <c r="B494" s="177" t="s">
        <v>469</v>
      </c>
      <c r="C494" s="177" t="s">
        <v>469</v>
      </c>
      <c r="D494" s="176">
        <f>199985/1000</f>
        <v>199.98500000000001</v>
      </c>
      <c r="E494" s="119" t="s">
        <v>464</v>
      </c>
    </row>
    <row r="495" spans="1:5" ht="30">
      <c r="A495" s="83" t="s">
        <v>391</v>
      </c>
      <c r="B495" s="177" t="s">
        <v>468</v>
      </c>
      <c r="C495" s="177" t="s">
        <v>468</v>
      </c>
      <c r="D495" s="176">
        <f>199985/1000</f>
        <v>199.98500000000001</v>
      </c>
      <c r="E495" s="119" t="s">
        <v>464</v>
      </c>
    </row>
    <row r="496" spans="1:5" ht="45">
      <c r="A496" s="83" t="s">
        <v>391</v>
      </c>
      <c r="B496" s="177" t="s">
        <v>467</v>
      </c>
      <c r="C496" s="177" t="s">
        <v>467</v>
      </c>
      <c r="D496" s="176">
        <f>179999.26/1000</f>
        <v>179.99926000000002</v>
      </c>
      <c r="E496" s="119" t="s">
        <v>464</v>
      </c>
    </row>
    <row r="497" spans="1:5" ht="45">
      <c r="A497" s="83" t="s">
        <v>391</v>
      </c>
      <c r="B497" s="177" t="s">
        <v>466</v>
      </c>
      <c r="C497" s="177" t="s">
        <v>466</v>
      </c>
      <c r="D497" s="176">
        <f>70000/1000</f>
        <v>70</v>
      </c>
      <c r="E497" s="119" t="s">
        <v>464</v>
      </c>
    </row>
    <row r="498" spans="1:5" ht="45">
      <c r="A498" s="83" t="s">
        <v>391</v>
      </c>
      <c r="B498" s="177" t="s">
        <v>465</v>
      </c>
      <c r="C498" s="177" t="s">
        <v>465</v>
      </c>
      <c r="D498" s="176">
        <f>180001/1000</f>
        <v>180.001</v>
      </c>
      <c r="E498" s="119" t="s">
        <v>464</v>
      </c>
    </row>
    <row r="499" spans="1:5" ht="45">
      <c r="A499" s="83" t="s">
        <v>391</v>
      </c>
      <c r="B499" s="177" t="s">
        <v>463</v>
      </c>
      <c r="C499" s="177" t="s">
        <v>463</v>
      </c>
      <c r="D499" s="176">
        <f>176796/1000</f>
        <v>176.79599999999999</v>
      </c>
      <c r="E499" s="119" t="s">
        <v>461</v>
      </c>
    </row>
    <row r="500" spans="1:5" ht="45">
      <c r="A500" s="83" t="s">
        <v>391</v>
      </c>
      <c r="B500" s="177" t="s">
        <v>462</v>
      </c>
      <c r="C500" s="177" t="s">
        <v>462</v>
      </c>
      <c r="D500" s="176">
        <f>134386/1000</f>
        <v>134.386</v>
      </c>
      <c r="E500" s="119" t="s">
        <v>461</v>
      </c>
    </row>
    <row r="501" spans="1:5" ht="45">
      <c r="A501" s="83" t="s">
        <v>391</v>
      </c>
      <c r="B501" s="177" t="s">
        <v>460</v>
      </c>
      <c r="C501" s="177" t="s">
        <v>460</v>
      </c>
      <c r="D501" s="176">
        <f>8232/1000</f>
        <v>8.2319999999999993</v>
      </c>
      <c r="E501" s="119" t="s">
        <v>443</v>
      </c>
    </row>
    <row r="502" spans="1:5" ht="45">
      <c r="A502" s="83" t="s">
        <v>391</v>
      </c>
      <c r="B502" s="177" t="s">
        <v>459</v>
      </c>
      <c r="C502" s="177" t="s">
        <v>459</v>
      </c>
      <c r="D502" s="176">
        <f>18068.4/1000</f>
        <v>18.0684</v>
      </c>
      <c r="E502" s="119" t="s">
        <v>443</v>
      </c>
    </row>
    <row r="503" spans="1:5" ht="30">
      <c r="A503" s="83" t="s">
        <v>391</v>
      </c>
      <c r="B503" s="177" t="s">
        <v>458</v>
      </c>
      <c r="C503" s="177" t="s">
        <v>458</v>
      </c>
      <c r="D503" s="176">
        <f>14221.2/1000</f>
        <v>14.221200000000001</v>
      </c>
      <c r="E503" s="119" t="s">
        <v>443</v>
      </c>
    </row>
    <row r="504" spans="1:5" ht="30">
      <c r="A504" s="83" t="s">
        <v>391</v>
      </c>
      <c r="B504" s="177" t="s">
        <v>457</v>
      </c>
      <c r="C504" s="177" t="s">
        <v>457</v>
      </c>
      <c r="D504" s="176">
        <f>3662.4/1000</f>
        <v>3.6623999999999999</v>
      </c>
      <c r="E504" s="119" t="s">
        <v>443</v>
      </c>
    </row>
    <row r="505" spans="1:5" ht="45">
      <c r="A505" s="83" t="s">
        <v>391</v>
      </c>
      <c r="B505" s="177" t="s">
        <v>456</v>
      </c>
      <c r="C505" s="177" t="s">
        <v>456</v>
      </c>
      <c r="D505" s="176">
        <f>2949.6/1000</f>
        <v>2.9495999999999998</v>
      </c>
      <c r="E505" s="119" t="s">
        <v>443</v>
      </c>
    </row>
    <row r="506" spans="1:5" ht="30">
      <c r="A506" s="83" t="s">
        <v>391</v>
      </c>
      <c r="B506" s="177" t="s">
        <v>455</v>
      </c>
      <c r="C506" s="177" t="s">
        <v>455</v>
      </c>
      <c r="D506" s="176">
        <f>5694/1000</f>
        <v>5.694</v>
      </c>
      <c r="E506" s="119" t="s">
        <v>443</v>
      </c>
    </row>
    <row r="507" spans="1:5" ht="45">
      <c r="A507" s="83" t="s">
        <v>391</v>
      </c>
      <c r="B507" s="177" t="s">
        <v>454</v>
      </c>
      <c r="C507" s="177" t="s">
        <v>454</v>
      </c>
      <c r="D507" s="176">
        <f>5694/1000</f>
        <v>5.694</v>
      </c>
      <c r="E507" s="119" t="s">
        <v>443</v>
      </c>
    </row>
    <row r="508" spans="1:5" ht="30">
      <c r="A508" s="83" t="s">
        <v>391</v>
      </c>
      <c r="B508" s="177" t="s">
        <v>453</v>
      </c>
      <c r="C508" s="177" t="s">
        <v>453</v>
      </c>
      <c r="D508" s="176">
        <f>3050.4/1000</f>
        <v>3.0504000000000002</v>
      </c>
      <c r="E508" s="119" t="s">
        <v>443</v>
      </c>
    </row>
    <row r="509" spans="1:5" ht="30">
      <c r="A509" s="83" t="s">
        <v>391</v>
      </c>
      <c r="B509" s="177" t="s">
        <v>452</v>
      </c>
      <c r="C509" s="177" t="s">
        <v>452</v>
      </c>
      <c r="D509" s="176">
        <f>5461.2/1000</f>
        <v>5.4611999999999998</v>
      </c>
      <c r="E509" s="119" t="s">
        <v>443</v>
      </c>
    </row>
    <row r="510" spans="1:5" ht="30">
      <c r="A510" s="83" t="s">
        <v>391</v>
      </c>
      <c r="B510" s="177" t="s">
        <v>451</v>
      </c>
      <c r="C510" s="177" t="s">
        <v>451</v>
      </c>
      <c r="D510" s="176">
        <f>3094.8/1000</f>
        <v>3.0948000000000002</v>
      </c>
      <c r="E510" s="119" t="s">
        <v>443</v>
      </c>
    </row>
    <row r="511" spans="1:5" ht="30">
      <c r="A511" s="83" t="s">
        <v>391</v>
      </c>
      <c r="B511" s="177" t="s">
        <v>450</v>
      </c>
      <c r="C511" s="177" t="s">
        <v>450</v>
      </c>
      <c r="D511" s="176">
        <f>3662.4/1000</f>
        <v>3.6623999999999999</v>
      </c>
      <c r="E511" s="119" t="s">
        <v>443</v>
      </c>
    </row>
    <row r="512" spans="1:5" ht="30">
      <c r="A512" s="83" t="s">
        <v>391</v>
      </c>
      <c r="B512" s="177" t="s">
        <v>449</v>
      </c>
      <c r="C512" s="177" t="s">
        <v>449</v>
      </c>
      <c r="D512" s="176">
        <f>28704/1000</f>
        <v>28.704000000000001</v>
      </c>
      <c r="E512" s="119" t="s">
        <v>443</v>
      </c>
    </row>
    <row r="513" spans="1:5" ht="30">
      <c r="A513" s="83" t="s">
        <v>391</v>
      </c>
      <c r="B513" s="177" t="s">
        <v>447</v>
      </c>
      <c r="C513" s="177" t="s">
        <v>447</v>
      </c>
      <c r="D513" s="176">
        <f>3800.4/1000</f>
        <v>3.8004000000000002</v>
      </c>
      <c r="E513" s="119" t="s">
        <v>443</v>
      </c>
    </row>
    <row r="514" spans="1:5" ht="30">
      <c r="A514" s="83" t="s">
        <v>391</v>
      </c>
      <c r="B514" s="177" t="s">
        <v>448</v>
      </c>
      <c r="C514" s="177" t="s">
        <v>448</v>
      </c>
      <c r="D514" s="176">
        <f>3589.2/1000</f>
        <v>3.5891999999999999</v>
      </c>
      <c r="E514" s="119" t="s">
        <v>443</v>
      </c>
    </row>
    <row r="515" spans="1:5" ht="30">
      <c r="A515" s="83" t="s">
        <v>391</v>
      </c>
      <c r="B515" s="177" t="s">
        <v>448</v>
      </c>
      <c r="C515" s="177" t="s">
        <v>448</v>
      </c>
      <c r="D515" s="176">
        <f>1977.6/1000</f>
        <v>1.9775999999999998</v>
      </c>
      <c r="E515" s="119" t="s">
        <v>443</v>
      </c>
    </row>
    <row r="516" spans="1:5" ht="30">
      <c r="A516" s="83" t="s">
        <v>391</v>
      </c>
      <c r="B516" s="177" t="s">
        <v>447</v>
      </c>
      <c r="C516" s="177" t="s">
        <v>447</v>
      </c>
      <c r="D516" s="176">
        <f>7332/1000</f>
        <v>7.3319999999999999</v>
      </c>
      <c r="E516" s="119" t="s">
        <v>443</v>
      </c>
    </row>
    <row r="517" spans="1:5" ht="30">
      <c r="A517" s="83" t="s">
        <v>391</v>
      </c>
      <c r="B517" s="177" t="s">
        <v>446</v>
      </c>
      <c r="C517" s="177" t="s">
        <v>446</v>
      </c>
      <c r="D517" s="176">
        <f>14526/1000</f>
        <v>14.526</v>
      </c>
      <c r="E517" s="119" t="s">
        <v>443</v>
      </c>
    </row>
    <row r="518" spans="1:5" ht="30">
      <c r="A518" s="83" t="s">
        <v>391</v>
      </c>
      <c r="B518" s="177" t="s">
        <v>445</v>
      </c>
      <c r="C518" s="177" t="s">
        <v>445</v>
      </c>
      <c r="D518" s="176">
        <f>2949.6/1000</f>
        <v>2.9495999999999998</v>
      </c>
      <c r="E518" s="119" t="s">
        <v>443</v>
      </c>
    </row>
    <row r="519" spans="1:5" ht="30">
      <c r="A519" s="83" t="s">
        <v>391</v>
      </c>
      <c r="B519" s="177" t="s">
        <v>444</v>
      </c>
      <c r="C519" s="177" t="s">
        <v>444</v>
      </c>
      <c r="D519" s="176">
        <f>11407.2/1000</f>
        <v>11.407200000000001</v>
      </c>
      <c r="E519" s="119" t="s">
        <v>443</v>
      </c>
    </row>
    <row r="520" spans="1:5" ht="45">
      <c r="A520" s="83" t="s">
        <v>391</v>
      </c>
      <c r="B520" s="177" t="s">
        <v>442</v>
      </c>
      <c r="C520" s="177" t="s">
        <v>442</v>
      </c>
      <c r="D520" s="176">
        <f>119744.34/1000</f>
        <v>119.74433999999999</v>
      </c>
      <c r="E520" s="119" t="s">
        <v>440</v>
      </c>
    </row>
    <row r="521" spans="1:5" ht="30">
      <c r="A521" s="83" t="s">
        <v>391</v>
      </c>
      <c r="B521" s="177" t="s">
        <v>441</v>
      </c>
      <c r="C521" s="177" t="s">
        <v>441</v>
      </c>
      <c r="D521" s="176">
        <f>179552.7/1000</f>
        <v>179.55270000000002</v>
      </c>
      <c r="E521" s="119" t="s">
        <v>440</v>
      </c>
    </row>
    <row r="522" spans="1:5" ht="45">
      <c r="A522" s="83" t="s">
        <v>391</v>
      </c>
      <c r="B522" s="177" t="s">
        <v>439</v>
      </c>
      <c r="C522" s="177" t="s">
        <v>439</v>
      </c>
      <c r="D522" s="176">
        <f>84907/1000</f>
        <v>84.906999999999996</v>
      </c>
      <c r="E522" s="119" t="s">
        <v>432</v>
      </c>
    </row>
    <row r="523" spans="1:5" ht="30">
      <c r="A523" s="83" t="s">
        <v>391</v>
      </c>
      <c r="B523" s="177" t="s">
        <v>438</v>
      </c>
      <c r="C523" s="177" t="s">
        <v>438</v>
      </c>
      <c r="D523" s="176">
        <f>27026/1000</f>
        <v>27.026</v>
      </c>
      <c r="E523" s="119" t="s">
        <v>432</v>
      </c>
    </row>
    <row r="524" spans="1:5" ht="45">
      <c r="A524" s="83" t="s">
        <v>391</v>
      </c>
      <c r="B524" s="177" t="s">
        <v>437</v>
      </c>
      <c r="C524" s="177" t="s">
        <v>437</v>
      </c>
      <c r="D524" s="176">
        <f>48720/1000</f>
        <v>48.72</v>
      </c>
      <c r="E524" s="119" t="s">
        <v>432</v>
      </c>
    </row>
    <row r="525" spans="1:5" ht="30">
      <c r="A525" s="83" t="s">
        <v>391</v>
      </c>
      <c r="B525" s="177" t="s">
        <v>436</v>
      </c>
      <c r="C525" s="177" t="s">
        <v>436</v>
      </c>
      <c r="D525" s="176">
        <f>199925/1000</f>
        <v>199.92500000000001</v>
      </c>
      <c r="E525" s="119" t="s">
        <v>432</v>
      </c>
    </row>
    <row r="526" spans="1:5" ht="45">
      <c r="A526" s="83" t="s">
        <v>391</v>
      </c>
      <c r="B526" s="177" t="s">
        <v>435</v>
      </c>
      <c r="C526" s="177" t="s">
        <v>435</v>
      </c>
      <c r="D526" s="176">
        <f>13300/1000</f>
        <v>13.3</v>
      </c>
      <c r="E526" s="119" t="s">
        <v>432</v>
      </c>
    </row>
    <row r="527" spans="1:5" ht="45">
      <c r="A527" s="83" t="s">
        <v>391</v>
      </c>
      <c r="B527" s="177" t="s">
        <v>434</v>
      </c>
      <c r="C527" s="177" t="s">
        <v>434</v>
      </c>
      <c r="D527" s="176">
        <f>36864/1000</f>
        <v>36.863999999999997</v>
      </c>
      <c r="E527" s="119" t="s">
        <v>432</v>
      </c>
    </row>
    <row r="528" spans="1:5" ht="45">
      <c r="A528" s="83" t="s">
        <v>391</v>
      </c>
      <c r="B528" s="177" t="s">
        <v>433</v>
      </c>
      <c r="C528" s="177" t="s">
        <v>433</v>
      </c>
      <c r="D528" s="176">
        <f>12500/1000</f>
        <v>12.5</v>
      </c>
      <c r="E528" s="119" t="s">
        <v>432</v>
      </c>
    </row>
    <row r="529" spans="1:5" ht="30">
      <c r="A529" s="83" t="s">
        <v>391</v>
      </c>
      <c r="B529" s="177" t="s">
        <v>431</v>
      </c>
      <c r="C529" s="177" t="s">
        <v>431</v>
      </c>
      <c r="D529" s="176">
        <f>105235.45/1000</f>
        <v>105.23545</v>
      </c>
      <c r="E529" s="119" t="s">
        <v>428</v>
      </c>
    </row>
    <row r="530" spans="1:5" ht="30">
      <c r="A530" s="83" t="s">
        <v>391</v>
      </c>
      <c r="B530" s="177" t="s">
        <v>430</v>
      </c>
      <c r="C530" s="177" t="s">
        <v>430</v>
      </c>
      <c r="D530" s="176">
        <f>42964.33/1000</f>
        <v>42.964330000000004</v>
      </c>
      <c r="E530" s="119" t="s">
        <v>428</v>
      </c>
    </row>
    <row r="531" spans="1:5" ht="30">
      <c r="A531" s="83" t="s">
        <v>391</v>
      </c>
      <c r="B531" s="177" t="s">
        <v>429</v>
      </c>
      <c r="C531" s="177" t="s">
        <v>429</v>
      </c>
      <c r="D531" s="176">
        <f>177193.59/1000</f>
        <v>177.19359</v>
      </c>
      <c r="E531" s="119" t="s">
        <v>428</v>
      </c>
    </row>
    <row r="532" spans="1:5" ht="45">
      <c r="A532" s="83" t="s">
        <v>391</v>
      </c>
      <c r="B532" s="177" t="s">
        <v>427</v>
      </c>
      <c r="C532" s="177" t="s">
        <v>427</v>
      </c>
      <c r="D532" s="176">
        <f>67687.43/1000</f>
        <v>67.687429999999992</v>
      </c>
      <c r="E532" s="119" t="s">
        <v>425</v>
      </c>
    </row>
    <row r="533" spans="1:5" ht="30">
      <c r="A533" s="83" t="s">
        <v>391</v>
      </c>
      <c r="B533" s="177" t="s">
        <v>426</v>
      </c>
      <c r="C533" s="177" t="s">
        <v>426</v>
      </c>
      <c r="D533" s="176">
        <f>117957.36/1000</f>
        <v>117.95735999999999</v>
      </c>
      <c r="E533" s="119" t="s">
        <v>425</v>
      </c>
    </row>
    <row r="534" spans="1:5" ht="30">
      <c r="A534" s="83" t="s">
        <v>391</v>
      </c>
      <c r="B534" s="177" t="s">
        <v>424</v>
      </c>
      <c r="C534" s="177" t="s">
        <v>424</v>
      </c>
      <c r="D534" s="176">
        <f>11971/1000</f>
        <v>11.971</v>
      </c>
      <c r="E534" s="119" t="s">
        <v>413</v>
      </c>
    </row>
    <row r="535" spans="1:5" ht="45">
      <c r="A535" s="83" t="s">
        <v>391</v>
      </c>
      <c r="B535" s="177" t="s">
        <v>423</v>
      </c>
      <c r="C535" s="177" t="s">
        <v>423</v>
      </c>
      <c r="D535" s="176">
        <f>65443/1000</f>
        <v>65.442999999999998</v>
      </c>
      <c r="E535" s="119" t="s">
        <v>413</v>
      </c>
    </row>
    <row r="536" spans="1:5" ht="30">
      <c r="A536" s="83" t="s">
        <v>391</v>
      </c>
      <c r="B536" s="177" t="s">
        <v>422</v>
      </c>
      <c r="C536" s="177" t="s">
        <v>422</v>
      </c>
      <c r="D536" s="176">
        <f>80033/1000</f>
        <v>80.033000000000001</v>
      </c>
      <c r="E536" s="119" t="s">
        <v>413</v>
      </c>
    </row>
    <row r="537" spans="1:5" ht="30">
      <c r="A537" s="83" t="s">
        <v>391</v>
      </c>
      <c r="B537" s="177" t="s">
        <v>421</v>
      </c>
      <c r="C537" s="177" t="s">
        <v>421</v>
      </c>
      <c r="D537" s="176">
        <f>125297.56/1000</f>
        <v>125.29756</v>
      </c>
      <c r="E537" s="119" t="s">
        <v>413</v>
      </c>
    </row>
    <row r="538" spans="1:5" ht="30">
      <c r="A538" s="83" t="s">
        <v>391</v>
      </c>
      <c r="B538" s="177" t="s">
        <v>420</v>
      </c>
      <c r="C538" s="177" t="s">
        <v>420</v>
      </c>
      <c r="D538" s="176">
        <f>25921/1000</f>
        <v>25.920999999999999</v>
      </c>
      <c r="E538" s="119" t="s">
        <v>413</v>
      </c>
    </row>
    <row r="539" spans="1:5" ht="45">
      <c r="A539" s="83" t="s">
        <v>391</v>
      </c>
      <c r="B539" s="177" t="s">
        <v>419</v>
      </c>
      <c r="C539" s="177" t="s">
        <v>419</v>
      </c>
      <c r="D539" s="176">
        <f>35361/1000</f>
        <v>35.360999999999997</v>
      </c>
      <c r="E539" s="119" t="s">
        <v>413</v>
      </c>
    </row>
    <row r="540" spans="1:5" ht="45">
      <c r="A540" s="83" t="s">
        <v>391</v>
      </c>
      <c r="B540" s="177" t="s">
        <v>418</v>
      </c>
      <c r="C540" s="177" t="s">
        <v>418</v>
      </c>
      <c r="D540" s="176">
        <f>176786/1000</f>
        <v>176.786</v>
      </c>
      <c r="E540" s="119" t="s">
        <v>413</v>
      </c>
    </row>
    <row r="541" spans="1:5" ht="30">
      <c r="A541" s="83" t="s">
        <v>391</v>
      </c>
      <c r="B541" s="177" t="s">
        <v>417</v>
      </c>
      <c r="C541" s="177" t="s">
        <v>417</v>
      </c>
      <c r="D541" s="176">
        <f>9884/1000</f>
        <v>9.8840000000000003</v>
      </c>
      <c r="E541" s="119" t="s">
        <v>413</v>
      </c>
    </row>
    <row r="542" spans="1:5" ht="30">
      <c r="A542" s="83" t="s">
        <v>391</v>
      </c>
      <c r="B542" s="177" t="s">
        <v>416</v>
      </c>
      <c r="C542" s="177" t="s">
        <v>416</v>
      </c>
      <c r="D542" s="176">
        <f>12181/1000</f>
        <v>12.180999999999999</v>
      </c>
      <c r="E542" s="119" t="s">
        <v>413</v>
      </c>
    </row>
    <row r="543" spans="1:5" ht="30">
      <c r="A543" s="83" t="s">
        <v>391</v>
      </c>
      <c r="B543" s="78" t="s">
        <v>415</v>
      </c>
      <c r="C543" s="78" t="s">
        <v>415</v>
      </c>
      <c r="D543" s="176">
        <f>56027/1000</f>
        <v>56.027000000000001</v>
      </c>
      <c r="E543" s="119" t="s">
        <v>413</v>
      </c>
    </row>
    <row r="544" spans="1:5" ht="45">
      <c r="A544" s="83" t="s">
        <v>391</v>
      </c>
      <c r="B544" s="175" t="s">
        <v>414</v>
      </c>
      <c r="C544" s="175" t="s">
        <v>414</v>
      </c>
      <c r="D544" s="176">
        <f>15231/1000</f>
        <v>15.231</v>
      </c>
      <c r="E544" s="78" t="s">
        <v>413</v>
      </c>
    </row>
    <row r="545" spans="1:5" ht="45">
      <c r="A545" s="83" t="s">
        <v>391</v>
      </c>
      <c r="B545" s="175" t="s">
        <v>412</v>
      </c>
      <c r="C545" s="175" t="s">
        <v>412</v>
      </c>
      <c r="D545" s="176">
        <f>120487/1000</f>
        <v>120.48699999999999</v>
      </c>
      <c r="E545" s="78" t="s">
        <v>410</v>
      </c>
    </row>
    <row r="546" spans="1:5" ht="45">
      <c r="A546" s="83" t="s">
        <v>391</v>
      </c>
      <c r="B546" s="175" t="s">
        <v>411</v>
      </c>
      <c r="C546" s="175" t="s">
        <v>411</v>
      </c>
      <c r="D546" s="176">
        <f>106197/1000</f>
        <v>106.197</v>
      </c>
      <c r="E546" s="175" t="s">
        <v>410</v>
      </c>
    </row>
    <row r="547" spans="1:5" ht="45">
      <c r="A547" s="83" t="s">
        <v>391</v>
      </c>
      <c r="B547" s="175" t="s">
        <v>409</v>
      </c>
      <c r="C547" s="175" t="s">
        <v>409</v>
      </c>
      <c r="D547" s="176">
        <f>89844.8/1000</f>
        <v>89.844800000000006</v>
      </c>
      <c r="E547" s="175" t="s">
        <v>405</v>
      </c>
    </row>
    <row r="548" spans="1:5" ht="45">
      <c r="A548" s="83" t="s">
        <v>391</v>
      </c>
      <c r="B548" s="175" t="s">
        <v>408</v>
      </c>
      <c r="C548" s="175" t="s">
        <v>408</v>
      </c>
      <c r="D548" s="176">
        <f>2569.67/1000</f>
        <v>2.5696699999999999</v>
      </c>
      <c r="E548" s="175" t="s">
        <v>405</v>
      </c>
    </row>
    <row r="549" spans="1:5" ht="30">
      <c r="A549" s="83" t="s">
        <v>391</v>
      </c>
      <c r="B549" s="175" t="s">
        <v>407</v>
      </c>
      <c r="C549" s="175" t="s">
        <v>407</v>
      </c>
      <c r="D549" s="176">
        <f>60546.23/1000</f>
        <v>60.546230000000001</v>
      </c>
      <c r="E549" s="175" t="s">
        <v>405</v>
      </c>
    </row>
    <row r="550" spans="1:5" ht="30">
      <c r="A550" s="83" t="s">
        <v>391</v>
      </c>
      <c r="B550" s="175" t="s">
        <v>407</v>
      </c>
      <c r="C550" s="175" t="s">
        <v>407</v>
      </c>
      <c r="D550" s="176">
        <f>14011.95/1000</f>
        <v>14.011950000000001</v>
      </c>
      <c r="E550" s="175" t="s">
        <v>405</v>
      </c>
    </row>
    <row r="551" spans="1:5" ht="45">
      <c r="A551" s="83" t="s">
        <v>391</v>
      </c>
      <c r="B551" s="175" t="s">
        <v>406</v>
      </c>
      <c r="C551" s="175" t="s">
        <v>406</v>
      </c>
      <c r="D551" s="176">
        <f>101691.76/1000</f>
        <v>101.69175999999999</v>
      </c>
      <c r="E551" s="175" t="s">
        <v>405</v>
      </c>
    </row>
    <row r="552" spans="1:5" ht="45">
      <c r="A552" s="83" t="s">
        <v>391</v>
      </c>
      <c r="B552" s="175" t="s">
        <v>404</v>
      </c>
      <c r="C552" s="175" t="s">
        <v>404</v>
      </c>
      <c r="D552" s="176">
        <f>63979.08/1000</f>
        <v>63.979080000000003</v>
      </c>
      <c r="E552" s="175" t="s">
        <v>401</v>
      </c>
    </row>
    <row r="553" spans="1:5" ht="45">
      <c r="A553" s="83" t="s">
        <v>391</v>
      </c>
      <c r="B553" s="175" t="s">
        <v>403</v>
      </c>
      <c r="C553" s="175" t="s">
        <v>403</v>
      </c>
      <c r="D553" s="176">
        <f>50738.95/1000</f>
        <v>50.738949999999996</v>
      </c>
      <c r="E553" s="175" t="s">
        <v>401</v>
      </c>
    </row>
    <row r="554" spans="1:5" ht="45">
      <c r="A554" s="83" t="s">
        <v>391</v>
      </c>
      <c r="B554" s="175" t="s">
        <v>402</v>
      </c>
      <c r="C554" s="175" t="s">
        <v>402</v>
      </c>
      <c r="D554" s="176">
        <f>39383.02/1000</f>
        <v>39.383019999999995</v>
      </c>
      <c r="E554" s="175" t="s">
        <v>401</v>
      </c>
    </row>
    <row r="555" spans="1:5" ht="30">
      <c r="A555" s="83" t="s">
        <v>391</v>
      </c>
      <c r="B555" s="175" t="s">
        <v>400</v>
      </c>
      <c r="C555" s="175" t="s">
        <v>400</v>
      </c>
      <c r="D555" s="176">
        <f>96305/1000</f>
        <v>96.305000000000007</v>
      </c>
      <c r="E555" s="175" t="s">
        <v>398</v>
      </c>
    </row>
    <row r="556" spans="1:5" ht="45">
      <c r="A556" s="83" t="s">
        <v>391</v>
      </c>
      <c r="B556" s="175" t="s">
        <v>399</v>
      </c>
      <c r="C556" s="175" t="s">
        <v>399</v>
      </c>
      <c r="D556" s="176">
        <f>97133/1000</f>
        <v>97.132999999999996</v>
      </c>
      <c r="E556" s="175" t="s">
        <v>398</v>
      </c>
    </row>
    <row r="557" spans="1:5">
      <c r="A557" s="83" t="s">
        <v>391</v>
      </c>
      <c r="B557" s="175"/>
      <c r="C557" s="175"/>
      <c r="D557" s="176">
        <f>77679.12/1000</f>
        <v>77.679119999999998</v>
      </c>
      <c r="E557" s="175" t="s">
        <v>397</v>
      </c>
    </row>
    <row r="558" spans="1:5">
      <c r="A558" s="71" t="s">
        <v>389</v>
      </c>
      <c r="B558" s="174"/>
      <c r="C558" s="174"/>
      <c r="D558" s="173">
        <f>SUM(D282:D557)</f>
        <v>17356.740660000003</v>
      </c>
      <c r="E558" s="172"/>
    </row>
    <row r="559" spans="1:5">
      <c r="A559" s="171"/>
      <c r="B559" s="92"/>
      <c r="C559" s="92"/>
      <c r="D559" s="170"/>
      <c r="E559" s="71"/>
    </row>
    <row r="560" spans="1:5">
      <c r="A560" s="102"/>
      <c r="B560" s="92">
        <v>1216020</v>
      </c>
      <c r="C560" s="169"/>
      <c r="D560" s="168"/>
      <c r="E560" s="102"/>
    </row>
    <row r="561" spans="1:5" ht="30">
      <c r="A561" s="83" t="s">
        <v>391</v>
      </c>
      <c r="B561" s="166" t="s">
        <v>396</v>
      </c>
      <c r="C561" s="78" t="s">
        <v>196</v>
      </c>
      <c r="D561" s="167">
        <v>110.562</v>
      </c>
      <c r="E561" s="165" t="s">
        <v>22</v>
      </c>
    </row>
    <row r="562" spans="1:5" ht="30">
      <c r="A562" s="83" t="s">
        <v>391</v>
      </c>
      <c r="B562" s="166" t="s">
        <v>395</v>
      </c>
      <c r="C562" s="78" t="s">
        <v>196</v>
      </c>
      <c r="D562" s="167">
        <v>51.664999999999999</v>
      </c>
      <c r="E562" s="165" t="s">
        <v>22</v>
      </c>
    </row>
    <row r="563" spans="1:5" ht="30">
      <c r="A563" s="83" t="s">
        <v>391</v>
      </c>
      <c r="B563" s="166" t="s">
        <v>394</v>
      </c>
      <c r="C563" s="78" t="s">
        <v>196</v>
      </c>
      <c r="D563" s="148">
        <v>115.622</v>
      </c>
      <c r="E563" s="165" t="s">
        <v>22</v>
      </c>
    </row>
    <row r="564" spans="1:5" ht="30">
      <c r="A564" s="83" t="s">
        <v>391</v>
      </c>
      <c r="B564" s="166" t="s">
        <v>393</v>
      </c>
      <c r="C564" s="78" t="s">
        <v>196</v>
      </c>
      <c r="D564" s="148">
        <v>88.563999999999993</v>
      </c>
      <c r="E564" s="165" t="s">
        <v>22</v>
      </c>
    </row>
    <row r="565" spans="1:5" ht="30">
      <c r="A565" s="83" t="s">
        <v>391</v>
      </c>
      <c r="B565" s="166" t="s">
        <v>392</v>
      </c>
      <c r="C565" s="78" t="s">
        <v>196</v>
      </c>
      <c r="D565" s="148">
        <v>114.822</v>
      </c>
      <c r="E565" s="165" t="s">
        <v>22</v>
      </c>
    </row>
    <row r="566" spans="1:5" ht="30">
      <c r="A566" s="83" t="s">
        <v>391</v>
      </c>
      <c r="B566" s="166" t="s">
        <v>390</v>
      </c>
      <c r="C566" s="78" t="s">
        <v>196</v>
      </c>
      <c r="D566" s="148">
        <v>160.17599999999999</v>
      </c>
      <c r="E566" s="165" t="s">
        <v>22</v>
      </c>
    </row>
    <row r="567" spans="1:5">
      <c r="A567" s="83" t="s">
        <v>122</v>
      </c>
      <c r="B567" s="164"/>
      <c r="C567" s="78"/>
      <c r="D567" s="163">
        <v>8.9489999999999998</v>
      </c>
      <c r="E567" s="162"/>
    </row>
    <row r="568" spans="1:5">
      <c r="A568" s="160" t="s">
        <v>389</v>
      </c>
      <c r="B568" s="159"/>
      <c r="C568" s="159"/>
      <c r="D568" s="161">
        <f>SUM(D561:D567)</f>
        <v>650.36</v>
      </c>
      <c r="E568" s="157"/>
    </row>
    <row r="569" spans="1:5">
      <c r="A569" s="160"/>
      <c r="B569" s="159"/>
      <c r="C569" s="159"/>
      <c r="D569" s="158"/>
      <c r="E569" s="157"/>
    </row>
    <row r="570" spans="1:5">
      <c r="A570" s="153"/>
      <c r="B570" s="156">
        <v>1217461</v>
      </c>
      <c r="C570" s="155"/>
      <c r="D570" s="154"/>
      <c r="E570" s="153"/>
    </row>
    <row r="571" spans="1:5" ht="45">
      <c r="A571" s="149" t="s">
        <v>388</v>
      </c>
      <c r="B571" s="149" t="s">
        <v>388</v>
      </c>
      <c r="C571" s="149" t="s">
        <v>388</v>
      </c>
      <c r="D571" s="152">
        <v>13815.706000000002</v>
      </c>
      <c r="E571" s="149" t="s">
        <v>387</v>
      </c>
    </row>
    <row r="572" spans="1:5" ht="30">
      <c r="A572" s="149" t="s">
        <v>386</v>
      </c>
      <c r="B572" s="149" t="s">
        <v>385</v>
      </c>
      <c r="C572" s="149" t="s">
        <v>377</v>
      </c>
      <c r="D572" s="148">
        <v>174.26300000000001</v>
      </c>
      <c r="E572" s="149" t="s">
        <v>379</v>
      </c>
    </row>
    <row r="573" spans="1:5" ht="30">
      <c r="A573" s="149"/>
      <c r="B573" s="149" t="s">
        <v>384</v>
      </c>
      <c r="C573" s="149" t="s">
        <v>377</v>
      </c>
      <c r="D573" s="148">
        <v>80.539000000000001</v>
      </c>
      <c r="E573" s="149" t="s">
        <v>376</v>
      </c>
    </row>
    <row r="574" spans="1:5">
      <c r="A574" s="149"/>
      <c r="B574" s="149" t="s">
        <v>383</v>
      </c>
      <c r="C574" s="149" t="s">
        <v>382</v>
      </c>
      <c r="D574" s="148">
        <f>1209.931+36.857</f>
        <v>1246.788</v>
      </c>
      <c r="E574" s="149" t="s">
        <v>376</v>
      </c>
    </row>
    <row r="575" spans="1:5" ht="30">
      <c r="A575" s="149"/>
      <c r="B575" s="149" t="s">
        <v>381</v>
      </c>
      <c r="C575" s="149" t="s">
        <v>377</v>
      </c>
      <c r="D575" s="148">
        <v>198.03299999999999</v>
      </c>
      <c r="E575" s="149" t="s">
        <v>376</v>
      </c>
    </row>
    <row r="576" spans="1:5" ht="30">
      <c r="A576" s="149"/>
      <c r="B576" s="149" t="s">
        <v>380</v>
      </c>
      <c r="C576" s="149" t="s">
        <v>377</v>
      </c>
      <c r="D576" s="148">
        <v>192.858</v>
      </c>
      <c r="E576" s="149" t="s">
        <v>379</v>
      </c>
    </row>
    <row r="577" spans="1:5" ht="30">
      <c r="A577" s="149"/>
      <c r="B577" s="78" t="s">
        <v>378</v>
      </c>
      <c r="C577" s="149" t="s">
        <v>377</v>
      </c>
      <c r="D577" s="152">
        <v>185.541</v>
      </c>
      <c r="E577" s="151" t="s">
        <v>376</v>
      </c>
    </row>
    <row r="578" spans="1:5">
      <c r="A578" s="150" t="s">
        <v>122</v>
      </c>
      <c r="B578" s="149"/>
      <c r="C578" s="149"/>
      <c r="D578" s="148">
        <v>161.03100000000001</v>
      </c>
      <c r="E578" s="147"/>
    </row>
    <row r="579" spans="1:5">
      <c r="A579" s="146"/>
      <c r="B579" s="145" t="s">
        <v>1</v>
      </c>
      <c r="C579" s="2" t="s">
        <v>0</v>
      </c>
      <c r="D579" s="144">
        <f>SUM(D571:D578)</f>
        <v>16054.759000000004</v>
      </c>
      <c r="E579" s="2" t="s">
        <v>0</v>
      </c>
    </row>
    <row r="580" spans="1:5" s="130" customFormat="1">
      <c r="A580" s="138" t="s">
        <v>375</v>
      </c>
      <c r="B580" s="138"/>
      <c r="C580" s="138"/>
      <c r="D580" s="138"/>
      <c r="E580" s="137"/>
    </row>
    <row r="581" spans="1:5" s="130" customFormat="1">
      <c r="A581" s="136"/>
      <c r="B581" s="136"/>
      <c r="C581" s="136"/>
      <c r="D581" s="136"/>
      <c r="E581" s="135"/>
    </row>
    <row r="582" spans="1:5" s="130" customFormat="1">
      <c r="A582" s="134"/>
      <c r="B582" s="131" t="s">
        <v>1</v>
      </c>
      <c r="C582" s="133" t="s">
        <v>0</v>
      </c>
      <c r="D582" s="132">
        <v>0</v>
      </c>
      <c r="E582" s="131" t="s">
        <v>0</v>
      </c>
    </row>
    <row r="583" spans="1:5" s="130" customFormat="1">
      <c r="A583" s="138" t="s">
        <v>374</v>
      </c>
      <c r="B583" s="138"/>
      <c r="C583" s="138"/>
      <c r="D583" s="138"/>
      <c r="E583" s="137"/>
    </row>
    <row r="584" spans="1:5" s="130" customFormat="1">
      <c r="A584" s="136"/>
      <c r="B584" s="136"/>
      <c r="C584" s="136"/>
      <c r="D584" s="136"/>
      <c r="E584" s="135"/>
    </row>
    <row r="585" spans="1:5" s="130" customFormat="1">
      <c r="A585" s="134"/>
      <c r="B585" s="131" t="s">
        <v>1</v>
      </c>
      <c r="C585" s="133" t="s">
        <v>0</v>
      </c>
      <c r="D585" s="132">
        <v>0</v>
      </c>
      <c r="E585" s="131" t="s">
        <v>0</v>
      </c>
    </row>
    <row r="586" spans="1:5" s="130" customFormat="1">
      <c r="A586" s="138" t="s">
        <v>373</v>
      </c>
      <c r="B586" s="138"/>
      <c r="C586" s="138"/>
      <c r="D586" s="138"/>
      <c r="E586" s="137"/>
    </row>
    <row r="587" spans="1:5" s="130" customFormat="1">
      <c r="A587" s="136"/>
      <c r="B587" s="136"/>
      <c r="C587" s="136"/>
      <c r="D587" s="136"/>
      <c r="E587" s="135"/>
    </row>
    <row r="588" spans="1:5" s="130" customFormat="1">
      <c r="A588" s="134"/>
      <c r="B588" s="131" t="s">
        <v>1</v>
      </c>
      <c r="C588" s="133" t="s">
        <v>0</v>
      </c>
      <c r="D588" s="132">
        <v>0</v>
      </c>
      <c r="E588" s="131" t="s">
        <v>0</v>
      </c>
    </row>
    <row r="589" spans="1:5" s="130" customFormat="1">
      <c r="A589" s="138" t="s">
        <v>372</v>
      </c>
      <c r="B589" s="138"/>
      <c r="C589" s="138"/>
      <c r="D589" s="138"/>
      <c r="E589" s="137"/>
    </row>
    <row r="590" spans="1:5" s="130" customFormat="1">
      <c r="A590" s="136"/>
      <c r="B590" s="136"/>
      <c r="C590" s="136"/>
      <c r="D590" s="136"/>
      <c r="E590" s="135"/>
    </row>
    <row r="591" spans="1:5" s="130" customFormat="1">
      <c r="A591" s="134"/>
      <c r="B591" s="131" t="s">
        <v>1</v>
      </c>
      <c r="C591" s="133" t="s">
        <v>0</v>
      </c>
      <c r="D591" s="132">
        <v>0</v>
      </c>
      <c r="E591" s="131" t="s">
        <v>0</v>
      </c>
    </row>
    <row r="592" spans="1:5" s="130" customFormat="1">
      <c r="A592" s="138" t="s">
        <v>371</v>
      </c>
      <c r="B592" s="138"/>
      <c r="C592" s="138"/>
      <c r="D592" s="138"/>
      <c r="E592" s="137"/>
    </row>
    <row r="593" spans="1:5" s="130" customFormat="1" ht="30">
      <c r="A593" s="142" t="s">
        <v>370</v>
      </c>
      <c r="B593" s="142" t="s">
        <v>367</v>
      </c>
      <c r="C593" s="141" t="s">
        <v>369</v>
      </c>
      <c r="D593" s="140">
        <v>9.7170000000000005</v>
      </c>
      <c r="E593" s="139" t="s">
        <v>365</v>
      </c>
    </row>
    <row r="594" spans="1:5" s="130" customFormat="1" ht="225">
      <c r="A594" s="143" t="s">
        <v>368</v>
      </c>
      <c r="B594" s="142" t="s">
        <v>367</v>
      </c>
      <c r="C594" s="141" t="s">
        <v>366</v>
      </c>
      <c r="D594" s="140">
        <v>90.68</v>
      </c>
      <c r="E594" s="139" t="s">
        <v>365</v>
      </c>
    </row>
    <row r="595" spans="1:5" s="130" customFormat="1">
      <c r="A595" s="134"/>
      <c r="B595" s="131" t="s">
        <v>1</v>
      </c>
      <c r="C595" s="133" t="s">
        <v>0</v>
      </c>
      <c r="D595" s="132">
        <f>SUM(D593:D594)</f>
        <v>100.39700000000001</v>
      </c>
      <c r="E595" s="131" t="s">
        <v>0</v>
      </c>
    </row>
    <row r="596" spans="1:5" s="130" customFormat="1">
      <c r="A596" s="138" t="s">
        <v>364</v>
      </c>
      <c r="B596" s="138"/>
      <c r="C596" s="138"/>
      <c r="D596" s="138"/>
      <c r="E596" s="137"/>
    </row>
    <row r="597" spans="1:5" s="130" customFormat="1">
      <c r="A597" s="136"/>
      <c r="B597" s="136"/>
      <c r="C597" s="136"/>
      <c r="D597" s="136"/>
      <c r="E597" s="135"/>
    </row>
    <row r="598" spans="1:5" s="130" customFormat="1">
      <c r="A598" s="134"/>
      <c r="B598" s="131" t="s">
        <v>1</v>
      </c>
      <c r="C598" s="133" t="s">
        <v>0</v>
      </c>
      <c r="D598" s="132">
        <v>0</v>
      </c>
      <c r="E598" s="131" t="s">
        <v>0</v>
      </c>
    </row>
    <row r="599" spans="1:5" s="130" customFormat="1">
      <c r="A599" s="138" t="s">
        <v>363</v>
      </c>
      <c r="B599" s="138"/>
      <c r="C599" s="138"/>
      <c r="D599" s="138"/>
      <c r="E599" s="137"/>
    </row>
    <row r="600" spans="1:5" s="130" customFormat="1">
      <c r="A600" s="136"/>
      <c r="B600" s="136"/>
      <c r="C600" s="136"/>
      <c r="D600" s="136"/>
      <c r="E600" s="135"/>
    </row>
    <row r="601" spans="1:5" s="130" customFormat="1">
      <c r="A601" s="134"/>
      <c r="B601" s="131" t="s">
        <v>1</v>
      </c>
      <c r="C601" s="133" t="s">
        <v>0</v>
      </c>
      <c r="D601" s="132">
        <v>0</v>
      </c>
      <c r="E601" s="131" t="s">
        <v>0</v>
      </c>
    </row>
    <row r="602" spans="1:5" s="130" customFormat="1">
      <c r="A602" s="138" t="s">
        <v>362</v>
      </c>
      <c r="B602" s="138"/>
      <c r="C602" s="138"/>
      <c r="D602" s="138"/>
      <c r="E602" s="137"/>
    </row>
    <row r="603" spans="1:5" s="130" customFormat="1">
      <c r="A603" s="136"/>
      <c r="B603" s="136"/>
      <c r="C603" s="136"/>
      <c r="D603" s="136"/>
      <c r="E603" s="135"/>
    </row>
    <row r="604" spans="1:5" s="130" customFormat="1">
      <c r="A604" s="134"/>
      <c r="B604" s="131" t="s">
        <v>1</v>
      </c>
      <c r="C604" s="133" t="s">
        <v>0</v>
      </c>
      <c r="D604" s="132">
        <v>0</v>
      </c>
      <c r="E604" s="131" t="s">
        <v>0</v>
      </c>
    </row>
    <row r="605" spans="1:5" s="130" customFormat="1">
      <c r="A605" s="138" t="s">
        <v>361</v>
      </c>
      <c r="B605" s="138"/>
      <c r="C605" s="138"/>
      <c r="D605" s="138"/>
      <c r="E605" s="137"/>
    </row>
    <row r="606" spans="1:5" s="130" customFormat="1">
      <c r="A606" s="136"/>
      <c r="B606" s="136"/>
      <c r="C606" s="136"/>
      <c r="D606" s="136"/>
      <c r="E606" s="135"/>
    </row>
    <row r="607" spans="1:5" s="130" customFormat="1">
      <c r="A607" s="134"/>
      <c r="B607" s="131" t="s">
        <v>1</v>
      </c>
      <c r="C607" s="133" t="s">
        <v>0</v>
      </c>
      <c r="D607" s="132">
        <v>0</v>
      </c>
      <c r="E607" s="131" t="s">
        <v>0</v>
      </c>
    </row>
    <row r="608" spans="1:5" s="130" customFormat="1">
      <c r="A608" s="138" t="s">
        <v>360</v>
      </c>
      <c r="B608" s="138"/>
      <c r="C608" s="138"/>
      <c r="D608" s="138"/>
      <c r="E608" s="137"/>
    </row>
    <row r="609" spans="1:5" s="130" customFormat="1">
      <c r="A609" s="136"/>
      <c r="B609" s="136"/>
      <c r="C609" s="136"/>
      <c r="D609" s="136"/>
      <c r="E609" s="135"/>
    </row>
    <row r="610" spans="1:5" s="130" customFormat="1">
      <c r="A610" s="134"/>
      <c r="B610" s="131" t="s">
        <v>1</v>
      </c>
      <c r="C610" s="133" t="s">
        <v>0</v>
      </c>
      <c r="D610" s="132">
        <v>0</v>
      </c>
      <c r="E610" s="131" t="s">
        <v>0</v>
      </c>
    </row>
    <row r="611" spans="1:5">
      <c r="A611" s="129" t="s">
        <v>359</v>
      </c>
      <c r="B611" s="129"/>
      <c r="C611" s="129"/>
      <c r="D611" s="129"/>
      <c r="E611" s="129"/>
    </row>
    <row r="612" spans="1:5" ht="45">
      <c r="A612" s="83" t="s">
        <v>358</v>
      </c>
      <c r="B612" s="83" t="s">
        <v>357</v>
      </c>
      <c r="C612" s="83" t="s">
        <v>280</v>
      </c>
      <c r="D612" s="128">
        <v>177.18899999999999</v>
      </c>
      <c r="E612" s="83" t="s">
        <v>356</v>
      </c>
    </row>
    <row r="613" spans="1:5" ht="30">
      <c r="A613" s="124" t="s">
        <v>355</v>
      </c>
      <c r="B613" s="124" t="s">
        <v>354</v>
      </c>
      <c r="C613" s="83" t="s">
        <v>280</v>
      </c>
      <c r="D613" s="110">
        <v>196.46700000000001</v>
      </c>
      <c r="E613" s="106" t="s">
        <v>309</v>
      </c>
    </row>
    <row r="614" spans="1:5" ht="30">
      <c r="A614" s="123"/>
      <c r="B614" s="123"/>
      <c r="C614" s="83" t="s">
        <v>312</v>
      </c>
      <c r="D614" s="110">
        <v>2.7919999999999998</v>
      </c>
      <c r="E614" s="106" t="s">
        <v>277</v>
      </c>
    </row>
    <row r="615" spans="1:5" ht="30">
      <c r="A615" s="124" t="s">
        <v>353</v>
      </c>
      <c r="B615" s="124" t="s">
        <v>352</v>
      </c>
      <c r="C615" s="83" t="s">
        <v>280</v>
      </c>
      <c r="D615" s="110">
        <v>98.528000000000006</v>
      </c>
      <c r="E615" s="106" t="s">
        <v>309</v>
      </c>
    </row>
    <row r="616" spans="1:5" ht="30">
      <c r="A616" s="123"/>
      <c r="B616" s="123"/>
      <c r="C616" s="83" t="s">
        <v>312</v>
      </c>
      <c r="D616" s="110">
        <v>1.4570000000000001</v>
      </c>
      <c r="E616" s="106" t="s">
        <v>277</v>
      </c>
    </row>
    <row r="617" spans="1:5" ht="30">
      <c r="A617" s="124" t="s">
        <v>351</v>
      </c>
      <c r="B617" s="124" t="s">
        <v>350</v>
      </c>
      <c r="C617" s="83" t="s">
        <v>280</v>
      </c>
      <c r="D617" s="110">
        <v>157.69399999999999</v>
      </c>
      <c r="E617" s="106" t="s">
        <v>279</v>
      </c>
    </row>
    <row r="618" spans="1:5" ht="30">
      <c r="A618" s="123"/>
      <c r="B618" s="123"/>
      <c r="C618" s="83" t="s">
        <v>312</v>
      </c>
      <c r="D618" s="110">
        <v>2.2959999999999998</v>
      </c>
      <c r="E618" s="106" t="s">
        <v>277</v>
      </c>
    </row>
    <row r="619" spans="1:5">
      <c r="A619" s="105" t="s">
        <v>349</v>
      </c>
      <c r="B619" s="104"/>
      <c r="C619" s="83"/>
      <c r="D619" s="110">
        <f>SUM(D613:D618)</f>
        <v>459.23399999999998</v>
      </c>
      <c r="E619" s="127"/>
    </row>
    <row r="620" spans="1:5" ht="60">
      <c r="A620" s="109" t="s">
        <v>348</v>
      </c>
      <c r="B620" s="109" t="s">
        <v>347</v>
      </c>
      <c r="C620" s="109" t="s">
        <v>280</v>
      </c>
      <c r="D620" s="125">
        <v>703.49800000000005</v>
      </c>
      <c r="E620" s="106" t="s">
        <v>338</v>
      </c>
    </row>
    <row r="621" spans="1:5" ht="75">
      <c r="A621" s="109" t="s">
        <v>346</v>
      </c>
      <c r="B621" s="109" t="s">
        <v>345</v>
      </c>
      <c r="C621" s="109" t="s">
        <v>280</v>
      </c>
      <c r="D621" s="125">
        <v>455.33300000000003</v>
      </c>
      <c r="E621" s="106" t="s">
        <v>338</v>
      </c>
    </row>
    <row r="622" spans="1:5" ht="60">
      <c r="A622" s="109" t="s">
        <v>344</v>
      </c>
      <c r="B622" s="109" t="s">
        <v>343</v>
      </c>
      <c r="C622" s="109" t="s">
        <v>280</v>
      </c>
      <c r="D622" s="125">
        <v>1067.9849999999999</v>
      </c>
      <c r="E622" s="106" t="s">
        <v>338</v>
      </c>
    </row>
    <row r="623" spans="1:5" ht="60">
      <c r="A623" s="109" t="s">
        <v>342</v>
      </c>
      <c r="B623" s="109" t="s">
        <v>341</v>
      </c>
      <c r="C623" s="109" t="s">
        <v>280</v>
      </c>
      <c r="D623" s="126">
        <v>395.2</v>
      </c>
      <c r="E623" s="106" t="s">
        <v>338</v>
      </c>
    </row>
    <row r="624" spans="1:5" ht="75">
      <c r="A624" s="109" t="s">
        <v>340</v>
      </c>
      <c r="B624" s="109" t="s">
        <v>339</v>
      </c>
      <c r="C624" s="109" t="s">
        <v>280</v>
      </c>
      <c r="D624" s="125">
        <v>985.99300000000005</v>
      </c>
      <c r="E624" s="106" t="s">
        <v>338</v>
      </c>
    </row>
    <row r="625" spans="1:5">
      <c r="A625" s="118" t="s">
        <v>337</v>
      </c>
      <c r="B625" s="117"/>
      <c r="C625" s="83"/>
      <c r="D625" s="110">
        <f>SUM(D620:D624)</f>
        <v>3608.0089999999996</v>
      </c>
      <c r="E625" s="102"/>
    </row>
    <row r="626" spans="1:5" ht="60">
      <c r="A626" s="83" t="s">
        <v>336</v>
      </c>
      <c r="B626" s="83" t="s">
        <v>335</v>
      </c>
      <c r="C626" s="109" t="s">
        <v>280</v>
      </c>
      <c r="D626" s="110">
        <v>104.2</v>
      </c>
      <c r="E626" s="106" t="s">
        <v>334</v>
      </c>
    </row>
    <row r="627" spans="1:5" ht="30">
      <c r="A627" s="106" t="s">
        <v>333</v>
      </c>
      <c r="B627" s="106" t="s">
        <v>333</v>
      </c>
      <c r="C627" s="106" t="s">
        <v>333</v>
      </c>
      <c r="D627" s="110">
        <v>17.86</v>
      </c>
      <c r="E627" s="106" t="s">
        <v>332</v>
      </c>
    </row>
    <row r="628" spans="1:5" ht="75">
      <c r="A628" s="83" t="s">
        <v>331</v>
      </c>
      <c r="B628" s="83" t="s">
        <v>330</v>
      </c>
      <c r="C628" s="109" t="s">
        <v>280</v>
      </c>
      <c r="D628" s="110">
        <v>133.46600000000001</v>
      </c>
      <c r="E628" s="106" t="s">
        <v>327</v>
      </c>
    </row>
    <row r="629" spans="1:5">
      <c r="A629" s="124" t="s">
        <v>329</v>
      </c>
      <c r="B629" s="124" t="s">
        <v>328</v>
      </c>
      <c r="C629" s="109" t="s">
        <v>280</v>
      </c>
      <c r="D629" s="110">
        <v>175.905</v>
      </c>
      <c r="E629" s="106" t="s">
        <v>327</v>
      </c>
    </row>
    <row r="630" spans="1:5" ht="44.25" customHeight="1">
      <c r="A630" s="123"/>
      <c r="B630" s="122"/>
      <c r="C630" s="109" t="s">
        <v>280</v>
      </c>
      <c r="D630" s="107"/>
      <c r="E630" s="102"/>
    </row>
    <row r="631" spans="1:5">
      <c r="A631" s="121" t="s">
        <v>326</v>
      </c>
      <c r="B631" s="120"/>
      <c r="C631" s="109"/>
      <c r="D631" s="110">
        <f>SUM(D626:D630)</f>
        <v>431.43100000000004</v>
      </c>
      <c r="E631" s="102"/>
    </row>
    <row r="632" spans="1:5" ht="45">
      <c r="A632" s="109" t="s">
        <v>325</v>
      </c>
      <c r="B632" s="109" t="s">
        <v>324</v>
      </c>
      <c r="C632" s="109" t="s">
        <v>280</v>
      </c>
      <c r="D632" s="107">
        <v>727.31899999999996</v>
      </c>
      <c r="E632" s="106" t="s">
        <v>323</v>
      </c>
    </row>
    <row r="633" spans="1:5">
      <c r="A633" s="118" t="s">
        <v>322</v>
      </c>
      <c r="B633" s="117"/>
      <c r="C633" s="109"/>
      <c r="D633" s="110">
        <f>SUM(D632:D632)</f>
        <v>727.31899999999996</v>
      </c>
      <c r="E633" s="102"/>
    </row>
    <row r="634" spans="1:5" ht="33.75" customHeight="1">
      <c r="A634" s="119" t="s">
        <v>321</v>
      </c>
      <c r="B634" s="83" t="s">
        <v>320</v>
      </c>
      <c r="C634" s="109" t="s">
        <v>280</v>
      </c>
      <c r="D634" s="110">
        <v>1268.835</v>
      </c>
      <c r="E634" s="106" t="s">
        <v>319</v>
      </c>
    </row>
    <row r="635" spans="1:5">
      <c r="A635" s="118" t="s">
        <v>318</v>
      </c>
      <c r="B635" s="117"/>
      <c r="C635" s="109"/>
      <c r="D635" s="110" t="e">
        <f>D634+#REF!</f>
        <v>#REF!</v>
      </c>
      <c r="E635" s="102"/>
    </row>
    <row r="636" spans="1:5" ht="30">
      <c r="A636" s="116" t="s">
        <v>317</v>
      </c>
      <c r="B636" s="116" t="s">
        <v>316</v>
      </c>
      <c r="C636" s="106" t="s">
        <v>280</v>
      </c>
      <c r="D636" s="110">
        <v>68.972999999999999</v>
      </c>
      <c r="E636" s="106" t="s">
        <v>309</v>
      </c>
    </row>
    <row r="637" spans="1:5" ht="30">
      <c r="A637" s="115"/>
      <c r="B637" s="115"/>
      <c r="C637" s="106" t="s">
        <v>312</v>
      </c>
      <c r="D637" s="110">
        <v>1.0189999999999999</v>
      </c>
      <c r="E637" s="106" t="s">
        <v>277</v>
      </c>
    </row>
    <row r="638" spans="1:5">
      <c r="A638" s="114" t="s">
        <v>315</v>
      </c>
      <c r="B638" s="114" t="s">
        <v>314</v>
      </c>
      <c r="C638" s="106" t="s">
        <v>280</v>
      </c>
      <c r="D638" s="110">
        <v>10.195</v>
      </c>
      <c r="E638" s="113" t="s">
        <v>313</v>
      </c>
    </row>
    <row r="639" spans="1:5" ht="30">
      <c r="A639" s="112"/>
      <c r="B639" s="112"/>
      <c r="C639" s="106" t="s">
        <v>312</v>
      </c>
      <c r="D639" s="110">
        <v>0.19800000000000001</v>
      </c>
      <c r="E639" s="106" t="s">
        <v>277</v>
      </c>
    </row>
    <row r="640" spans="1:5" ht="73.5" customHeight="1">
      <c r="A640" s="111" t="s">
        <v>311</v>
      </c>
      <c r="B640" s="111" t="s">
        <v>310</v>
      </c>
      <c r="C640" s="106" t="s">
        <v>280</v>
      </c>
      <c r="D640" s="110">
        <v>27.832000000000001</v>
      </c>
      <c r="E640" s="106" t="s">
        <v>309</v>
      </c>
    </row>
    <row r="641" spans="1:5" ht="60">
      <c r="A641" s="108" t="s">
        <v>282</v>
      </c>
      <c r="B641" s="108" t="s">
        <v>281</v>
      </c>
      <c r="C641" s="109" t="s">
        <v>280</v>
      </c>
      <c r="D641" s="107">
        <v>2.1669999999999998</v>
      </c>
      <c r="E641" s="106" t="s">
        <v>279</v>
      </c>
    </row>
    <row r="642" spans="1:5" ht="45">
      <c r="A642" s="108" t="s">
        <v>300</v>
      </c>
      <c r="B642" s="108" t="s">
        <v>299</v>
      </c>
      <c r="C642" s="109" t="s">
        <v>280</v>
      </c>
      <c r="D642" s="107">
        <v>2.1669999999999998</v>
      </c>
      <c r="E642" s="106" t="s">
        <v>279</v>
      </c>
    </row>
    <row r="643" spans="1:5" ht="45">
      <c r="A643" s="108" t="s">
        <v>308</v>
      </c>
      <c r="B643" s="108" t="s">
        <v>307</v>
      </c>
      <c r="C643" s="109" t="s">
        <v>280</v>
      </c>
      <c r="D643" s="107">
        <v>2.1669999999999998</v>
      </c>
      <c r="E643" s="106" t="s">
        <v>279</v>
      </c>
    </row>
    <row r="644" spans="1:5" ht="60">
      <c r="A644" s="108" t="s">
        <v>286</v>
      </c>
      <c r="B644" s="108" t="s">
        <v>285</v>
      </c>
      <c r="C644" s="109" t="s">
        <v>280</v>
      </c>
      <c r="D644" s="107">
        <v>2.1669999999999998</v>
      </c>
      <c r="E644" s="106" t="s">
        <v>279</v>
      </c>
    </row>
    <row r="645" spans="1:5" ht="60">
      <c r="A645" s="108" t="s">
        <v>288</v>
      </c>
      <c r="B645" s="108" t="s">
        <v>287</v>
      </c>
      <c r="C645" s="109" t="s">
        <v>280</v>
      </c>
      <c r="D645" s="107">
        <v>2.1669999999999998</v>
      </c>
      <c r="E645" s="106" t="s">
        <v>279</v>
      </c>
    </row>
    <row r="646" spans="1:5" ht="60">
      <c r="A646" s="108" t="s">
        <v>290</v>
      </c>
      <c r="B646" s="108" t="s">
        <v>289</v>
      </c>
      <c r="C646" s="109" t="s">
        <v>280</v>
      </c>
      <c r="D646" s="107">
        <v>2.1669999999999998</v>
      </c>
      <c r="E646" s="106" t="s">
        <v>279</v>
      </c>
    </row>
    <row r="647" spans="1:5" ht="60">
      <c r="A647" s="108" t="s">
        <v>292</v>
      </c>
      <c r="B647" s="108" t="s">
        <v>291</v>
      </c>
      <c r="C647" s="109" t="s">
        <v>280</v>
      </c>
      <c r="D647" s="107">
        <v>2.1669999999999998</v>
      </c>
      <c r="E647" s="106" t="s">
        <v>279</v>
      </c>
    </row>
    <row r="648" spans="1:5" ht="60">
      <c r="A648" s="108" t="s">
        <v>306</v>
      </c>
      <c r="B648" s="108" t="s">
        <v>305</v>
      </c>
      <c r="C648" s="109" t="s">
        <v>280</v>
      </c>
      <c r="D648" s="107">
        <v>9.6750000000000007</v>
      </c>
      <c r="E648" s="106" t="s">
        <v>279</v>
      </c>
    </row>
    <row r="649" spans="1:5" ht="60">
      <c r="A649" s="108" t="s">
        <v>304</v>
      </c>
      <c r="B649" s="108" t="s">
        <v>303</v>
      </c>
      <c r="C649" s="109" t="s">
        <v>280</v>
      </c>
      <c r="D649" s="107">
        <v>9.6750000000000007</v>
      </c>
      <c r="E649" s="106" t="s">
        <v>279</v>
      </c>
    </row>
    <row r="650" spans="1:5" ht="45">
      <c r="A650" s="108" t="s">
        <v>298</v>
      </c>
      <c r="B650" s="108" t="s">
        <v>297</v>
      </c>
      <c r="C650" s="109" t="s">
        <v>280</v>
      </c>
      <c r="D650" s="107">
        <v>2.1669999999999998</v>
      </c>
      <c r="E650" s="106" t="s">
        <v>279</v>
      </c>
    </row>
    <row r="651" spans="1:5" ht="45">
      <c r="A651" s="108" t="s">
        <v>302</v>
      </c>
      <c r="B651" s="108" t="s">
        <v>301</v>
      </c>
      <c r="C651" s="109" t="s">
        <v>280</v>
      </c>
      <c r="D651" s="107">
        <v>2.1659999999999999</v>
      </c>
      <c r="E651" s="106" t="s">
        <v>279</v>
      </c>
    </row>
    <row r="652" spans="1:5" ht="45">
      <c r="A652" s="108" t="s">
        <v>300</v>
      </c>
      <c r="B652" s="108" t="s">
        <v>299</v>
      </c>
      <c r="C652" s="109" t="s">
        <v>280</v>
      </c>
      <c r="D652" s="107">
        <v>2.1669999999999998</v>
      </c>
      <c r="E652" s="106" t="s">
        <v>279</v>
      </c>
    </row>
    <row r="653" spans="1:5" ht="45">
      <c r="A653" s="108" t="s">
        <v>298</v>
      </c>
      <c r="B653" s="108" t="s">
        <v>297</v>
      </c>
      <c r="C653" s="109" t="s">
        <v>280</v>
      </c>
      <c r="D653" s="107">
        <v>9.6750000000000007</v>
      </c>
      <c r="E653" s="106" t="s">
        <v>279</v>
      </c>
    </row>
    <row r="654" spans="1:5" ht="60">
      <c r="A654" s="108" t="s">
        <v>296</v>
      </c>
      <c r="B654" s="108" t="s">
        <v>295</v>
      </c>
      <c r="C654" s="109" t="s">
        <v>280</v>
      </c>
      <c r="D654" s="107">
        <v>9.6750000000000007</v>
      </c>
      <c r="E654" s="106" t="s">
        <v>279</v>
      </c>
    </row>
    <row r="655" spans="1:5" ht="60">
      <c r="A655" s="108" t="s">
        <v>294</v>
      </c>
      <c r="B655" s="108" t="s">
        <v>293</v>
      </c>
      <c r="C655" s="109" t="s">
        <v>280</v>
      </c>
      <c r="D655" s="107">
        <v>2.1669999999999998</v>
      </c>
      <c r="E655" s="106" t="s">
        <v>279</v>
      </c>
    </row>
    <row r="656" spans="1:5" ht="60">
      <c r="A656" s="108" t="s">
        <v>292</v>
      </c>
      <c r="B656" s="108" t="s">
        <v>291</v>
      </c>
      <c r="C656" s="109" t="s">
        <v>280</v>
      </c>
      <c r="D656" s="107">
        <v>9.6750000000000007</v>
      </c>
      <c r="E656" s="106" t="s">
        <v>279</v>
      </c>
    </row>
    <row r="657" spans="1:5" ht="60">
      <c r="A657" s="108" t="s">
        <v>290</v>
      </c>
      <c r="B657" s="108" t="s">
        <v>289</v>
      </c>
      <c r="C657" s="109" t="s">
        <v>280</v>
      </c>
      <c r="D657" s="107">
        <v>2.1669999999999998</v>
      </c>
      <c r="E657" s="106" t="s">
        <v>279</v>
      </c>
    </row>
    <row r="658" spans="1:5" ht="60">
      <c r="A658" s="108" t="s">
        <v>288</v>
      </c>
      <c r="B658" s="108" t="s">
        <v>287</v>
      </c>
      <c r="C658" s="109" t="s">
        <v>280</v>
      </c>
      <c r="D658" s="107">
        <v>9.6750000000000007</v>
      </c>
      <c r="E658" s="106" t="s">
        <v>279</v>
      </c>
    </row>
    <row r="659" spans="1:5" ht="60">
      <c r="A659" s="108" t="s">
        <v>286</v>
      </c>
      <c r="B659" s="108" t="s">
        <v>285</v>
      </c>
      <c r="C659" s="109" t="s">
        <v>280</v>
      </c>
      <c r="D659" s="107">
        <v>9.6750000000000007</v>
      </c>
      <c r="E659" s="106" t="s">
        <v>279</v>
      </c>
    </row>
    <row r="660" spans="1:5" ht="45">
      <c r="A660" s="108" t="s">
        <v>284</v>
      </c>
      <c r="B660" s="108" t="s">
        <v>283</v>
      </c>
      <c r="C660" s="109" t="s">
        <v>280</v>
      </c>
      <c r="D660" s="107">
        <v>9.6750000000000007</v>
      </c>
      <c r="E660" s="106" t="s">
        <v>279</v>
      </c>
    </row>
    <row r="661" spans="1:5" ht="60">
      <c r="A661" s="108" t="s">
        <v>282</v>
      </c>
      <c r="B661" s="108" t="s">
        <v>281</v>
      </c>
      <c r="C661" s="109" t="s">
        <v>280</v>
      </c>
      <c r="D661" s="107">
        <v>2.1669999999999998</v>
      </c>
      <c r="E661" s="106" t="s">
        <v>279</v>
      </c>
    </row>
    <row r="662" spans="1:5" ht="60">
      <c r="A662" s="108" t="s">
        <v>278</v>
      </c>
      <c r="B662" s="108" t="s">
        <v>278</v>
      </c>
      <c r="C662" s="108" t="s">
        <v>278</v>
      </c>
      <c r="D662" s="107"/>
      <c r="E662" s="106" t="s">
        <v>277</v>
      </c>
    </row>
    <row r="663" spans="1:5">
      <c r="A663" s="105" t="s">
        <v>276</v>
      </c>
      <c r="B663" s="104"/>
      <c r="C663" s="83"/>
      <c r="D663" s="103">
        <f>SUM(D636:D662)</f>
        <v>213.78700000000012</v>
      </c>
      <c r="E663" s="102"/>
    </row>
    <row r="664" spans="1:5" ht="15.75" thickBot="1">
      <c r="A664" s="101"/>
      <c r="B664" s="100" t="s">
        <v>1</v>
      </c>
      <c r="C664" s="99" t="s">
        <v>0</v>
      </c>
      <c r="D664" s="90">
        <v>6708.6149999999998</v>
      </c>
      <c r="E664" s="98" t="s">
        <v>0</v>
      </c>
    </row>
    <row r="665" spans="1:5" ht="15" customHeight="1">
      <c r="A665" s="97" t="s">
        <v>275</v>
      </c>
      <c r="B665" s="96"/>
      <c r="C665" s="96"/>
      <c r="D665" s="96"/>
      <c r="E665" s="95"/>
    </row>
    <row r="666" spans="1:5" ht="60">
      <c r="A666" s="78" t="s">
        <v>272</v>
      </c>
      <c r="B666" s="78" t="s">
        <v>274</v>
      </c>
      <c r="C666" s="78" t="s">
        <v>260</v>
      </c>
      <c r="D666" s="94">
        <v>77.996610000000004</v>
      </c>
      <c r="E666" s="78" t="s">
        <v>273</v>
      </c>
    </row>
    <row r="667" spans="1:5" ht="60">
      <c r="A667" s="78" t="s">
        <v>272</v>
      </c>
      <c r="B667" s="78" t="s">
        <v>271</v>
      </c>
      <c r="C667" s="78" t="s">
        <v>260</v>
      </c>
      <c r="D667" s="94">
        <v>120.92082000000001</v>
      </c>
      <c r="E667" s="78" t="s">
        <v>259</v>
      </c>
    </row>
    <row r="668" spans="1:5" ht="60">
      <c r="A668" s="78" t="s">
        <v>270</v>
      </c>
      <c r="B668" s="78" t="s">
        <v>269</v>
      </c>
      <c r="C668" s="78" t="s">
        <v>260</v>
      </c>
      <c r="D668" s="94">
        <v>201.17898</v>
      </c>
      <c r="E668" s="78" t="s">
        <v>259</v>
      </c>
    </row>
    <row r="669" spans="1:5" ht="45">
      <c r="A669" s="78" t="s">
        <v>268</v>
      </c>
      <c r="B669" s="78" t="s">
        <v>267</v>
      </c>
      <c r="C669" s="78" t="s">
        <v>260</v>
      </c>
      <c r="D669" s="94">
        <v>22.789149999999999</v>
      </c>
      <c r="E669" s="78" t="s">
        <v>259</v>
      </c>
    </row>
    <row r="670" spans="1:5" ht="90">
      <c r="A670" s="78" t="s">
        <v>266</v>
      </c>
      <c r="B670" s="78" t="s">
        <v>265</v>
      </c>
      <c r="C670" s="78" t="s">
        <v>260</v>
      </c>
      <c r="D670" s="94">
        <v>86.24879</v>
      </c>
      <c r="E670" s="78" t="s">
        <v>259</v>
      </c>
    </row>
    <row r="671" spans="1:5" ht="60">
      <c r="A671" s="78" t="s">
        <v>264</v>
      </c>
      <c r="B671" s="78" t="s">
        <v>263</v>
      </c>
      <c r="C671" s="78" t="s">
        <v>260</v>
      </c>
      <c r="D671" s="94">
        <v>199.99066999999999</v>
      </c>
      <c r="E671" s="78" t="s">
        <v>259</v>
      </c>
    </row>
    <row r="672" spans="1:5" ht="60">
      <c r="A672" s="78" t="s">
        <v>262</v>
      </c>
      <c r="B672" s="78" t="s">
        <v>261</v>
      </c>
      <c r="C672" s="78" t="s">
        <v>260</v>
      </c>
      <c r="D672" s="94">
        <v>89.696529999999996</v>
      </c>
      <c r="E672" s="78" t="s">
        <v>259</v>
      </c>
    </row>
    <row r="673" spans="1:5" ht="60">
      <c r="A673" s="78" t="s">
        <v>258</v>
      </c>
      <c r="B673" s="78" t="s">
        <v>257</v>
      </c>
      <c r="C673" s="84" t="s">
        <v>254</v>
      </c>
      <c r="D673" s="93">
        <v>198.62679</v>
      </c>
      <c r="E673" s="84" t="s">
        <v>191</v>
      </c>
    </row>
    <row r="674" spans="1:5" ht="75">
      <c r="A674" s="78" t="s">
        <v>256</v>
      </c>
      <c r="B674" s="78" t="s">
        <v>255</v>
      </c>
      <c r="C674" s="84" t="s">
        <v>254</v>
      </c>
      <c r="D674" s="93">
        <v>199.78630999999999</v>
      </c>
      <c r="E674" s="84" t="s">
        <v>191</v>
      </c>
    </row>
    <row r="675" spans="1:5" ht="45">
      <c r="A675" s="78" t="s">
        <v>253</v>
      </c>
      <c r="B675" s="78" t="s">
        <v>252</v>
      </c>
      <c r="C675" s="84" t="s">
        <v>249</v>
      </c>
      <c r="D675" s="93">
        <v>90.38794</v>
      </c>
      <c r="E675" s="84" t="s">
        <v>248</v>
      </c>
    </row>
    <row r="676" spans="1:5" ht="60">
      <c r="A676" s="78" t="s">
        <v>251</v>
      </c>
      <c r="B676" s="78" t="s">
        <v>250</v>
      </c>
      <c r="C676" s="84" t="s">
        <v>249</v>
      </c>
      <c r="D676" s="93">
        <v>150.38499999999999</v>
      </c>
      <c r="E676" s="84" t="s">
        <v>248</v>
      </c>
    </row>
    <row r="677" spans="1:5" ht="60">
      <c r="A677" s="78" t="s">
        <v>247</v>
      </c>
      <c r="B677" s="78" t="s">
        <v>246</v>
      </c>
      <c r="C677" s="84" t="s">
        <v>243</v>
      </c>
      <c r="D677" s="93">
        <v>199.97248999999999</v>
      </c>
      <c r="E677" s="84" t="s">
        <v>225</v>
      </c>
    </row>
    <row r="678" spans="1:5" ht="75">
      <c r="A678" s="78" t="s">
        <v>245</v>
      </c>
      <c r="B678" s="78" t="s">
        <v>244</v>
      </c>
      <c r="C678" s="84" t="s">
        <v>243</v>
      </c>
      <c r="D678" s="93">
        <v>199.99270000000001</v>
      </c>
      <c r="E678" s="84" t="s">
        <v>225</v>
      </c>
    </row>
    <row r="679" spans="1:5" ht="60">
      <c r="A679" s="78" t="s">
        <v>242</v>
      </c>
      <c r="B679" s="78" t="s">
        <v>241</v>
      </c>
      <c r="C679" s="84" t="s">
        <v>232</v>
      </c>
      <c r="D679" s="93">
        <v>57.064680000000003</v>
      </c>
      <c r="E679" s="84" t="s">
        <v>225</v>
      </c>
    </row>
    <row r="680" spans="1:5" ht="60">
      <c r="A680" s="78" t="s">
        <v>240</v>
      </c>
      <c r="B680" s="78" t="s">
        <v>239</v>
      </c>
      <c r="C680" s="84" t="s">
        <v>232</v>
      </c>
      <c r="D680" s="93">
        <v>33.633940000000003</v>
      </c>
      <c r="E680" s="84" t="s">
        <v>225</v>
      </c>
    </row>
    <row r="681" spans="1:5" ht="60">
      <c r="A681" s="78" t="s">
        <v>238</v>
      </c>
      <c r="B681" s="78" t="s">
        <v>237</v>
      </c>
      <c r="C681" s="84" t="s">
        <v>232</v>
      </c>
      <c r="D681" s="93">
        <v>82.215509999999995</v>
      </c>
      <c r="E681" s="84" t="s">
        <v>225</v>
      </c>
    </row>
    <row r="682" spans="1:5" ht="45">
      <c r="A682" s="78" t="s">
        <v>236</v>
      </c>
      <c r="B682" s="78" t="s">
        <v>235</v>
      </c>
      <c r="C682" s="84" t="s">
        <v>232</v>
      </c>
      <c r="D682" s="93">
        <v>37.978679999999997</v>
      </c>
      <c r="E682" s="84" t="s">
        <v>225</v>
      </c>
    </row>
    <row r="683" spans="1:5" ht="60">
      <c r="A683" s="78" t="s">
        <v>234</v>
      </c>
      <c r="B683" s="78" t="s">
        <v>233</v>
      </c>
      <c r="C683" s="84" t="s">
        <v>232</v>
      </c>
      <c r="D683" s="93">
        <v>38.542619999999999</v>
      </c>
      <c r="E683" s="84" t="s">
        <v>225</v>
      </c>
    </row>
    <row r="684" spans="1:5" ht="75">
      <c r="A684" s="78" t="s">
        <v>231</v>
      </c>
      <c r="B684" s="78" t="s">
        <v>230</v>
      </c>
      <c r="C684" s="84" t="s">
        <v>222</v>
      </c>
      <c r="D684" s="93">
        <v>199.81733</v>
      </c>
      <c r="E684" s="84" t="s">
        <v>225</v>
      </c>
    </row>
    <row r="685" spans="1:5" ht="90">
      <c r="A685" s="78" t="s">
        <v>229</v>
      </c>
      <c r="B685" s="78" t="s">
        <v>228</v>
      </c>
      <c r="C685" s="84" t="s">
        <v>222</v>
      </c>
      <c r="D685" s="93">
        <v>197.7885</v>
      </c>
      <c r="E685" s="84" t="s">
        <v>225</v>
      </c>
    </row>
    <row r="686" spans="1:5" ht="30">
      <c r="A686" s="78" t="s">
        <v>224</v>
      </c>
      <c r="B686" s="78" t="s">
        <v>226</v>
      </c>
      <c r="C686" s="84" t="s">
        <v>222</v>
      </c>
      <c r="D686" s="93">
        <v>52.497920000000001</v>
      </c>
      <c r="E686" s="84" t="s">
        <v>225</v>
      </c>
    </row>
    <row r="687" spans="1:5" ht="45">
      <c r="A687" s="78" t="s">
        <v>224</v>
      </c>
      <c r="B687" s="78" t="s">
        <v>227</v>
      </c>
      <c r="C687" s="84" t="s">
        <v>222</v>
      </c>
      <c r="D687" s="93">
        <v>27.354810000000001</v>
      </c>
      <c r="E687" s="84" t="s">
        <v>221</v>
      </c>
    </row>
    <row r="688" spans="1:5" ht="30">
      <c r="A688" s="78" t="s">
        <v>224</v>
      </c>
      <c r="B688" s="78" t="s">
        <v>226</v>
      </c>
      <c r="C688" s="84" t="s">
        <v>222</v>
      </c>
      <c r="D688" s="93">
        <v>28.58605</v>
      </c>
      <c r="E688" s="84" t="s">
        <v>225</v>
      </c>
    </row>
    <row r="689" spans="1:5" ht="30">
      <c r="A689" s="78" t="s">
        <v>224</v>
      </c>
      <c r="B689" s="78" t="s">
        <v>223</v>
      </c>
      <c r="C689" s="84" t="s">
        <v>222</v>
      </c>
      <c r="D689" s="93">
        <v>26.32395</v>
      </c>
      <c r="E689" s="84" t="s">
        <v>221</v>
      </c>
    </row>
    <row r="690" spans="1:5" ht="60">
      <c r="A690" s="78" t="s">
        <v>220</v>
      </c>
      <c r="B690" s="78" t="s">
        <v>219</v>
      </c>
      <c r="C690" s="84" t="s">
        <v>196</v>
      </c>
      <c r="D690" s="93">
        <v>148.78280000000001</v>
      </c>
      <c r="E690" s="84" t="s">
        <v>22</v>
      </c>
    </row>
    <row r="691" spans="1:5" ht="60">
      <c r="A691" s="78" t="s">
        <v>218</v>
      </c>
      <c r="B691" s="78" t="s">
        <v>217</v>
      </c>
      <c r="C691" s="84" t="s">
        <v>196</v>
      </c>
      <c r="D691" s="93">
        <v>23.457190000000001</v>
      </c>
      <c r="E691" s="84" t="s">
        <v>22</v>
      </c>
    </row>
    <row r="692" spans="1:5" ht="60">
      <c r="A692" s="78" t="s">
        <v>216</v>
      </c>
      <c r="B692" s="78" t="s">
        <v>215</v>
      </c>
      <c r="C692" s="84" t="s">
        <v>196</v>
      </c>
      <c r="D692" s="93">
        <v>31.92118</v>
      </c>
      <c r="E692" s="84" t="s">
        <v>22</v>
      </c>
    </row>
    <row r="693" spans="1:5" ht="60">
      <c r="A693" s="78" t="s">
        <v>214</v>
      </c>
      <c r="B693" s="78" t="s">
        <v>213</v>
      </c>
      <c r="C693" s="84" t="s">
        <v>196</v>
      </c>
      <c r="D693" s="93">
        <v>64.463009999999997</v>
      </c>
      <c r="E693" s="84" t="s">
        <v>22</v>
      </c>
    </row>
    <row r="694" spans="1:5" ht="75">
      <c r="A694" s="78" t="s">
        <v>212</v>
      </c>
      <c r="B694" s="78" t="s">
        <v>211</v>
      </c>
      <c r="C694" s="84" t="s">
        <v>196</v>
      </c>
      <c r="D694" s="93">
        <v>135.54059000000001</v>
      </c>
      <c r="E694" s="84" t="s">
        <v>22</v>
      </c>
    </row>
    <row r="695" spans="1:5" ht="60">
      <c r="A695" s="78" t="s">
        <v>210</v>
      </c>
      <c r="B695" s="78" t="s">
        <v>209</v>
      </c>
      <c r="C695" s="84" t="s">
        <v>196</v>
      </c>
      <c r="D695" s="93">
        <v>198.94120000000001</v>
      </c>
      <c r="E695" s="84" t="s">
        <v>22</v>
      </c>
    </row>
    <row r="696" spans="1:5" ht="75">
      <c r="A696" s="78" t="s">
        <v>208</v>
      </c>
      <c r="B696" s="78" t="s">
        <v>207</v>
      </c>
      <c r="C696" s="84" t="s">
        <v>196</v>
      </c>
      <c r="D696" s="93">
        <v>29.81503</v>
      </c>
      <c r="E696" s="84" t="s">
        <v>22</v>
      </c>
    </row>
    <row r="697" spans="1:5" ht="60">
      <c r="A697" s="78" t="s">
        <v>206</v>
      </c>
      <c r="B697" s="78" t="s">
        <v>205</v>
      </c>
      <c r="C697" s="84" t="s">
        <v>196</v>
      </c>
      <c r="D697" s="93">
        <v>51.670520000000003</v>
      </c>
      <c r="E697" s="84" t="s">
        <v>22</v>
      </c>
    </row>
    <row r="698" spans="1:5" ht="45">
      <c r="A698" s="78" t="s">
        <v>204</v>
      </c>
      <c r="B698" s="78" t="s">
        <v>203</v>
      </c>
      <c r="C698" s="84" t="s">
        <v>196</v>
      </c>
      <c r="D698" s="93">
        <v>68.160079999999994</v>
      </c>
      <c r="E698" s="84" t="s">
        <v>22</v>
      </c>
    </row>
    <row r="699" spans="1:5" ht="75">
      <c r="A699" s="78" t="s">
        <v>202</v>
      </c>
      <c r="B699" s="78" t="s">
        <v>201</v>
      </c>
      <c r="C699" s="84" t="s">
        <v>196</v>
      </c>
      <c r="D699" s="93">
        <v>75.124579999999995</v>
      </c>
      <c r="E699" s="84" t="s">
        <v>22</v>
      </c>
    </row>
    <row r="700" spans="1:5" ht="60">
      <c r="A700" s="78" t="s">
        <v>200</v>
      </c>
      <c r="B700" s="78" t="s">
        <v>199</v>
      </c>
      <c r="C700" s="84" t="s">
        <v>196</v>
      </c>
      <c r="D700" s="93">
        <v>7.5044700000000004</v>
      </c>
      <c r="E700" s="84" t="s">
        <v>22</v>
      </c>
    </row>
    <row r="701" spans="1:5" ht="45">
      <c r="A701" s="78" t="s">
        <v>198</v>
      </c>
      <c r="B701" s="78" t="s">
        <v>197</v>
      </c>
      <c r="C701" s="84" t="s">
        <v>196</v>
      </c>
      <c r="D701" s="93">
        <v>70.752129999999994</v>
      </c>
      <c r="E701" s="84" t="s">
        <v>22</v>
      </c>
    </row>
    <row r="702" spans="1:5" ht="45">
      <c r="A702" s="78" t="s">
        <v>195</v>
      </c>
      <c r="B702" s="78" t="s">
        <v>194</v>
      </c>
      <c r="C702" s="84" t="s">
        <v>8</v>
      </c>
      <c r="D702" s="93">
        <v>199.98882</v>
      </c>
      <c r="E702" s="84" t="s">
        <v>191</v>
      </c>
    </row>
    <row r="703" spans="1:5" ht="45">
      <c r="A703" s="78" t="s">
        <v>193</v>
      </c>
      <c r="B703" s="78" t="s">
        <v>192</v>
      </c>
      <c r="C703" s="84" t="s">
        <v>8</v>
      </c>
      <c r="D703" s="93">
        <v>198.75167999999999</v>
      </c>
      <c r="E703" s="84" t="s">
        <v>191</v>
      </c>
    </row>
    <row r="704" spans="1:5" ht="60">
      <c r="A704" s="78" t="s">
        <v>190</v>
      </c>
      <c r="B704" s="78" t="s">
        <v>189</v>
      </c>
      <c r="C704" s="84" t="s">
        <v>8</v>
      </c>
      <c r="D704" s="93">
        <v>199.98693</v>
      </c>
      <c r="E704" s="84" t="s">
        <v>188</v>
      </c>
    </row>
    <row r="705" spans="1:5" ht="75">
      <c r="A705" s="78" t="s">
        <v>187</v>
      </c>
      <c r="B705" s="78" t="s">
        <v>186</v>
      </c>
      <c r="C705" s="84" t="s">
        <v>8</v>
      </c>
      <c r="D705" s="93">
        <v>58.492249999999999</v>
      </c>
      <c r="E705" s="84" t="s">
        <v>185</v>
      </c>
    </row>
    <row r="706" spans="1:5">
      <c r="A706" s="92"/>
      <c r="B706" s="92" t="s">
        <v>1</v>
      </c>
      <c r="C706" s="91" t="s">
        <v>0</v>
      </c>
      <c r="D706" s="90">
        <f>SUM(D666:D705)</f>
        <v>4183.1292299999996</v>
      </c>
      <c r="E706" s="89" t="s">
        <v>0</v>
      </c>
    </row>
    <row r="707" spans="1:5">
      <c r="A707" s="88" t="s">
        <v>184</v>
      </c>
      <c r="B707" s="87"/>
      <c r="C707" s="87"/>
      <c r="D707" s="87"/>
      <c r="E707" s="86"/>
    </row>
    <row r="708" spans="1:5" ht="49.5" customHeight="1">
      <c r="A708" s="83" t="s">
        <v>183</v>
      </c>
      <c r="B708" s="74" t="s">
        <v>182</v>
      </c>
      <c r="C708" s="74" t="s">
        <v>148</v>
      </c>
      <c r="D708" s="80">
        <v>786.29</v>
      </c>
      <c r="E708" s="72" t="s">
        <v>159</v>
      </c>
    </row>
    <row r="709" spans="1:5" ht="51.75" customHeight="1">
      <c r="A709" s="83" t="s">
        <v>183</v>
      </c>
      <c r="B709" s="74" t="s">
        <v>182</v>
      </c>
      <c r="C709" s="74" t="s">
        <v>122</v>
      </c>
      <c r="D709" s="80">
        <v>10.253</v>
      </c>
      <c r="E709" s="72" t="s">
        <v>121</v>
      </c>
    </row>
    <row r="710" spans="1:5" ht="45">
      <c r="A710" s="75" t="s">
        <v>180</v>
      </c>
      <c r="B710" s="74" t="s">
        <v>181</v>
      </c>
      <c r="C710" s="74" t="s">
        <v>126</v>
      </c>
      <c r="D710" s="80">
        <v>393.48599999999999</v>
      </c>
      <c r="E710" s="85" t="s">
        <v>159</v>
      </c>
    </row>
    <row r="711" spans="1:5" ht="45">
      <c r="A711" s="75" t="s">
        <v>180</v>
      </c>
      <c r="B711" s="74" t="s">
        <v>179</v>
      </c>
      <c r="C711" s="74" t="s">
        <v>122</v>
      </c>
      <c r="D711" s="80">
        <v>2.5350000000000001</v>
      </c>
      <c r="E711" s="72" t="s">
        <v>121</v>
      </c>
    </row>
    <row r="712" spans="1:5" ht="57.75" customHeight="1">
      <c r="A712" s="81" t="s">
        <v>178</v>
      </c>
      <c r="B712" s="74" t="s">
        <v>177</v>
      </c>
      <c r="C712" s="74" t="s">
        <v>148</v>
      </c>
      <c r="D712" s="80">
        <v>197</v>
      </c>
      <c r="E712" s="85" t="s">
        <v>159</v>
      </c>
    </row>
    <row r="713" spans="1:5" ht="45">
      <c r="A713" s="81" t="s">
        <v>175</v>
      </c>
      <c r="B713" s="74" t="s">
        <v>176</v>
      </c>
      <c r="C713" s="74" t="s">
        <v>122</v>
      </c>
      <c r="D713" s="80">
        <v>7.6559999999999997</v>
      </c>
      <c r="E713" s="72" t="s">
        <v>121</v>
      </c>
    </row>
    <row r="714" spans="1:5" ht="45">
      <c r="A714" s="81" t="s">
        <v>175</v>
      </c>
      <c r="B714" s="74" t="s">
        <v>174</v>
      </c>
      <c r="C714" s="74" t="s">
        <v>148</v>
      </c>
      <c r="D714" s="80">
        <v>591.14800000000002</v>
      </c>
      <c r="E714" s="85" t="s">
        <v>159</v>
      </c>
    </row>
    <row r="715" spans="1:5" ht="45">
      <c r="A715" s="81" t="s">
        <v>172</v>
      </c>
      <c r="B715" s="74" t="s">
        <v>173</v>
      </c>
      <c r="C715" s="74" t="s">
        <v>148</v>
      </c>
      <c r="D715" s="80">
        <v>591.22699999999998</v>
      </c>
      <c r="E715" s="85" t="s">
        <v>159</v>
      </c>
    </row>
    <row r="716" spans="1:5" ht="45">
      <c r="A716" s="81" t="s">
        <v>172</v>
      </c>
      <c r="B716" s="74" t="s">
        <v>171</v>
      </c>
      <c r="C716" s="74" t="s">
        <v>122</v>
      </c>
      <c r="D716" s="80">
        <v>10.175000000000001</v>
      </c>
      <c r="E716" s="72" t="s">
        <v>121</v>
      </c>
    </row>
    <row r="717" spans="1:5" ht="45">
      <c r="A717" s="75" t="s">
        <v>170</v>
      </c>
      <c r="B717" s="74" t="s">
        <v>169</v>
      </c>
      <c r="C717" s="74" t="s">
        <v>148</v>
      </c>
      <c r="D717" s="80">
        <v>591.22500000000002</v>
      </c>
      <c r="E717" s="85" t="s">
        <v>159</v>
      </c>
    </row>
    <row r="718" spans="1:5" ht="45">
      <c r="A718" s="75" t="s">
        <v>170</v>
      </c>
      <c r="B718" s="74" t="s">
        <v>169</v>
      </c>
      <c r="C718" s="74" t="s">
        <v>122</v>
      </c>
      <c r="D718" s="80">
        <v>5.101</v>
      </c>
      <c r="E718" s="72" t="s">
        <v>121</v>
      </c>
    </row>
    <row r="719" spans="1:5" ht="46.5" customHeight="1">
      <c r="A719" s="75" t="s">
        <v>167</v>
      </c>
      <c r="B719" s="74" t="s">
        <v>168</v>
      </c>
      <c r="C719" s="74" t="s">
        <v>148</v>
      </c>
      <c r="D719" s="80">
        <v>572.57100000000003</v>
      </c>
      <c r="E719" s="85" t="s">
        <v>159</v>
      </c>
    </row>
    <row r="720" spans="1:5" ht="51" customHeight="1">
      <c r="A720" s="75" t="s">
        <v>167</v>
      </c>
      <c r="B720" s="74" t="s">
        <v>166</v>
      </c>
      <c r="C720" s="74" t="s">
        <v>122</v>
      </c>
      <c r="D720" s="80">
        <v>7.6580000000000004</v>
      </c>
      <c r="E720" s="72" t="s">
        <v>121</v>
      </c>
    </row>
    <row r="721" spans="1:5" ht="45.75" customHeight="1">
      <c r="A721" s="81" t="s">
        <v>165</v>
      </c>
      <c r="B721" s="74" t="s">
        <v>164</v>
      </c>
      <c r="C721" s="74" t="s">
        <v>148</v>
      </c>
      <c r="D721" s="80">
        <v>288.07400000000001</v>
      </c>
      <c r="E721" s="72" t="s">
        <v>104</v>
      </c>
    </row>
    <row r="722" spans="1:5" ht="60">
      <c r="A722" s="81" t="s">
        <v>163</v>
      </c>
      <c r="B722" s="74" t="s">
        <v>162</v>
      </c>
      <c r="C722" s="74" t="s">
        <v>122</v>
      </c>
      <c r="D722" s="80">
        <v>5.72</v>
      </c>
      <c r="E722" s="72" t="s">
        <v>121</v>
      </c>
    </row>
    <row r="723" spans="1:5" ht="75">
      <c r="A723" s="81" t="s">
        <v>161</v>
      </c>
      <c r="B723" s="74" t="s">
        <v>160</v>
      </c>
      <c r="C723" s="74" t="s">
        <v>148</v>
      </c>
      <c r="D723" s="80">
        <v>791.75199999999995</v>
      </c>
      <c r="E723" s="85" t="s">
        <v>159</v>
      </c>
    </row>
    <row r="724" spans="1:5" ht="75">
      <c r="A724" s="81" t="s">
        <v>158</v>
      </c>
      <c r="B724" s="74" t="s">
        <v>157</v>
      </c>
      <c r="C724" s="74" t="s">
        <v>122</v>
      </c>
      <c r="D724" s="80">
        <v>11.023999999999999</v>
      </c>
      <c r="E724" s="72" t="s">
        <v>121</v>
      </c>
    </row>
    <row r="725" spans="1:5" ht="75">
      <c r="A725" s="81" t="s">
        <v>156</v>
      </c>
      <c r="B725" s="74" t="s">
        <v>155</v>
      </c>
      <c r="C725" s="74" t="s">
        <v>148</v>
      </c>
      <c r="D725" s="80">
        <v>1520.75</v>
      </c>
      <c r="E725" s="72" t="s">
        <v>154</v>
      </c>
    </row>
    <row r="726" spans="1:5" ht="75">
      <c r="A726" s="81" t="s">
        <v>153</v>
      </c>
      <c r="B726" s="74" t="s">
        <v>152</v>
      </c>
      <c r="C726" s="74" t="s">
        <v>148</v>
      </c>
      <c r="D726" s="80">
        <v>315.79000000000002</v>
      </c>
      <c r="E726" s="84" t="s">
        <v>151</v>
      </c>
    </row>
    <row r="727" spans="1:5" ht="60.75" customHeight="1">
      <c r="A727" s="81" t="s">
        <v>150</v>
      </c>
      <c r="B727" s="74" t="s">
        <v>149</v>
      </c>
      <c r="C727" s="74" t="s">
        <v>148</v>
      </c>
      <c r="D727" s="80">
        <v>73.822999999999993</v>
      </c>
      <c r="E727" s="72" t="s">
        <v>147</v>
      </c>
    </row>
    <row r="728" spans="1:5" ht="63">
      <c r="A728" s="75" t="s">
        <v>146</v>
      </c>
      <c r="B728" s="81" t="s">
        <v>145</v>
      </c>
      <c r="C728" s="74" t="s">
        <v>126</v>
      </c>
      <c r="D728" s="80">
        <v>51.94</v>
      </c>
      <c r="E728" s="72" t="s">
        <v>136</v>
      </c>
    </row>
    <row r="729" spans="1:5" ht="47.25">
      <c r="A729" s="75" t="s">
        <v>144</v>
      </c>
      <c r="B729" s="81" t="s">
        <v>143</v>
      </c>
      <c r="C729" s="74" t="s">
        <v>126</v>
      </c>
      <c r="D729" s="80">
        <v>23.417000000000002</v>
      </c>
      <c r="E729" s="72" t="s">
        <v>136</v>
      </c>
    </row>
    <row r="730" spans="1:5" ht="47.25">
      <c r="A730" s="79" t="s">
        <v>142</v>
      </c>
      <c r="B730" s="81" t="s">
        <v>141</v>
      </c>
      <c r="C730" s="74" t="s">
        <v>126</v>
      </c>
      <c r="D730" s="80">
        <v>15</v>
      </c>
      <c r="E730" s="72" t="s">
        <v>136</v>
      </c>
    </row>
    <row r="731" spans="1:5" ht="47.25">
      <c r="A731" s="75" t="s">
        <v>140</v>
      </c>
      <c r="B731" s="81" t="s">
        <v>139</v>
      </c>
      <c r="C731" s="74" t="s">
        <v>126</v>
      </c>
      <c r="D731" s="80">
        <v>30</v>
      </c>
      <c r="E731" s="72" t="s">
        <v>136</v>
      </c>
    </row>
    <row r="732" spans="1:5" ht="63">
      <c r="A732" s="83" t="s">
        <v>138</v>
      </c>
      <c r="B732" s="81" t="s">
        <v>137</v>
      </c>
      <c r="C732" s="74" t="s">
        <v>126</v>
      </c>
      <c r="D732" s="80">
        <v>50.195</v>
      </c>
      <c r="E732" s="72" t="s">
        <v>136</v>
      </c>
    </row>
    <row r="733" spans="1:5" ht="47.25">
      <c r="A733" s="75" t="s">
        <v>135</v>
      </c>
      <c r="B733" s="81" t="s">
        <v>134</v>
      </c>
      <c r="C733" s="74" t="s">
        <v>126</v>
      </c>
      <c r="D733" s="80">
        <v>12.667999999999999</v>
      </c>
      <c r="E733" s="72" t="s">
        <v>22</v>
      </c>
    </row>
    <row r="734" spans="1:5" ht="47.25">
      <c r="A734" s="75" t="s">
        <v>123</v>
      </c>
      <c r="B734" s="81" t="s">
        <v>133</v>
      </c>
      <c r="C734" s="74" t="s">
        <v>126</v>
      </c>
      <c r="D734" s="80">
        <v>11.739000000000001</v>
      </c>
      <c r="E734" s="72" t="s">
        <v>22</v>
      </c>
    </row>
    <row r="735" spans="1:5" ht="47.25">
      <c r="A735" s="75" t="s">
        <v>132</v>
      </c>
      <c r="B735" s="81" t="s">
        <v>131</v>
      </c>
      <c r="C735" s="74" t="s">
        <v>126</v>
      </c>
      <c r="D735" s="80">
        <v>10.457000000000001</v>
      </c>
      <c r="E735" s="72" t="s">
        <v>22</v>
      </c>
    </row>
    <row r="736" spans="1:5" ht="47.25">
      <c r="A736" s="75" t="s">
        <v>130</v>
      </c>
      <c r="B736" s="81" t="s">
        <v>129</v>
      </c>
      <c r="C736" s="74" t="s">
        <v>126</v>
      </c>
      <c r="D736" s="80">
        <v>57.453000000000003</v>
      </c>
      <c r="E736" s="72" t="s">
        <v>22</v>
      </c>
    </row>
    <row r="737" spans="1:5" ht="47.25">
      <c r="A737" s="82" t="s">
        <v>128</v>
      </c>
      <c r="B737" s="81" t="s">
        <v>127</v>
      </c>
      <c r="C737" s="74" t="s">
        <v>126</v>
      </c>
      <c r="D737" s="80">
        <v>103.60599999999999</v>
      </c>
      <c r="E737" s="72" t="s">
        <v>22</v>
      </c>
    </row>
    <row r="738" spans="1:5" ht="30">
      <c r="A738" s="79" t="s">
        <v>125</v>
      </c>
      <c r="B738" s="79" t="s">
        <v>124</v>
      </c>
      <c r="C738" s="79" t="s">
        <v>124</v>
      </c>
      <c r="D738" s="73">
        <v>29.52</v>
      </c>
      <c r="E738" s="79" t="s">
        <v>118</v>
      </c>
    </row>
    <row r="739" spans="1:5">
      <c r="A739" s="79" t="s">
        <v>125</v>
      </c>
      <c r="B739" s="79" t="s">
        <v>122</v>
      </c>
      <c r="C739" s="79" t="s">
        <v>122</v>
      </c>
      <c r="D739" s="73">
        <v>0.38211000000000001</v>
      </c>
      <c r="E739" s="79" t="s">
        <v>121</v>
      </c>
    </row>
    <row r="740" spans="1:5" ht="30">
      <c r="A740" s="79" t="s">
        <v>123</v>
      </c>
      <c r="B740" s="78" t="s">
        <v>124</v>
      </c>
      <c r="C740" s="78" t="s">
        <v>124</v>
      </c>
      <c r="D740" s="73">
        <v>197.14400000000001</v>
      </c>
      <c r="E740" s="72" t="s">
        <v>118</v>
      </c>
    </row>
    <row r="741" spans="1:5">
      <c r="A741" s="79" t="s">
        <v>123</v>
      </c>
      <c r="B741" s="78" t="s">
        <v>122</v>
      </c>
      <c r="C741" s="78" t="s">
        <v>122</v>
      </c>
      <c r="D741" s="73">
        <v>2.5009999999999999</v>
      </c>
      <c r="E741" s="72" t="s">
        <v>121</v>
      </c>
    </row>
    <row r="742" spans="1:5" ht="45">
      <c r="A742" s="79" t="s">
        <v>120</v>
      </c>
      <c r="B742" s="78" t="s">
        <v>119</v>
      </c>
      <c r="C742" s="78" t="s">
        <v>119</v>
      </c>
      <c r="D742" s="73">
        <v>170.041</v>
      </c>
      <c r="E742" s="72" t="s">
        <v>118</v>
      </c>
    </row>
    <row r="743" spans="1:5" ht="75">
      <c r="A743" s="75" t="s">
        <v>117</v>
      </c>
      <c r="B743" s="74" t="s">
        <v>112</v>
      </c>
      <c r="C743" s="74" t="s">
        <v>112</v>
      </c>
      <c r="D743" s="73">
        <v>73.820999999999998</v>
      </c>
      <c r="E743" s="72" t="s">
        <v>116</v>
      </c>
    </row>
    <row r="744" spans="1:5" ht="64.150000000000006" customHeight="1">
      <c r="A744" s="75" t="s">
        <v>115</v>
      </c>
      <c r="B744" s="74" t="s">
        <v>112</v>
      </c>
      <c r="C744" s="74" t="s">
        <v>112</v>
      </c>
      <c r="D744" s="77">
        <f>328.45432+32.62831+7.07775</f>
        <v>368.16037999999998</v>
      </c>
      <c r="E744" s="72" t="s">
        <v>114</v>
      </c>
    </row>
    <row r="745" spans="1:5" ht="75">
      <c r="A745" s="75" t="s">
        <v>113</v>
      </c>
      <c r="B745" s="74" t="s">
        <v>112</v>
      </c>
      <c r="C745" s="74" t="s">
        <v>112</v>
      </c>
      <c r="D745" s="73">
        <v>146.63676000000001</v>
      </c>
      <c r="E745" s="72" t="s">
        <v>109</v>
      </c>
    </row>
    <row r="746" spans="1:5" ht="45">
      <c r="A746" s="75" t="s">
        <v>111</v>
      </c>
      <c r="B746" s="74" t="s">
        <v>105</v>
      </c>
      <c r="C746" s="74" t="s">
        <v>105</v>
      </c>
      <c r="D746" s="76" t="s">
        <v>110</v>
      </c>
      <c r="E746" s="72" t="s">
        <v>109</v>
      </c>
    </row>
    <row r="747" spans="1:5" ht="45">
      <c r="A747" s="75" t="s">
        <v>108</v>
      </c>
      <c r="B747" s="74" t="s">
        <v>105</v>
      </c>
      <c r="C747" s="74" t="s">
        <v>105</v>
      </c>
      <c r="D747" s="73" t="s">
        <v>107</v>
      </c>
      <c r="E747" s="72" t="s">
        <v>104</v>
      </c>
    </row>
    <row r="748" spans="1:5" ht="45">
      <c r="A748" s="75" t="s">
        <v>106</v>
      </c>
      <c r="B748" s="74" t="s">
        <v>105</v>
      </c>
      <c r="C748" s="74" t="s">
        <v>105</v>
      </c>
      <c r="D748" s="73">
        <v>148.47499999999999</v>
      </c>
      <c r="E748" s="72" t="s">
        <v>104</v>
      </c>
    </row>
    <row r="749" spans="1:5">
      <c r="A749" s="71"/>
      <c r="B749" s="71" t="s">
        <v>1</v>
      </c>
      <c r="C749" s="69" t="s">
        <v>0</v>
      </c>
      <c r="D749" s="70">
        <f>SUM(D708:D748)</f>
        <v>8276.4142499999998</v>
      </c>
      <c r="E749" s="69" t="s">
        <v>0</v>
      </c>
    </row>
    <row r="750" spans="1:5" ht="21" customHeight="1">
      <c r="A750" s="68" t="s">
        <v>103</v>
      </c>
      <c r="B750" s="68"/>
      <c r="C750" s="68"/>
      <c r="D750" s="68"/>
      <c r="E750" s="68"/>
    </row>
    <row r="751" spans="1:5" ht="76.5" customHeight="1">
      <c r="A751" s="67" t="s">
        <v>102</v>
      </c>
      <c r="B751" s="66" t="s">
        <v>101</v>
      </c>
      <c r="C751" s="56" t="s">
        <v>50</v>
      </c>
      <c r="D751" s="65">
        <v>184.67901000000001</v>
      </c>
      <c r="E751" s="11" t="s">
        <v>53</v>
      </c>
    </row>
    <row r="752" spans="1:5" ht="15.75">
      <c r="A752" s="55"/>
      <c r="B752" s="54"/>
      <c r="C752" s="53"/>
      <c r="D752" s="52">
        <v>2.7278199999999999</v>
      </c>
      <c r="E752" s="51" t="s">
        <v>3</v>
      </c>
    </row>
    <row r="753" spans="1:5" ht="76.5" customHeight="1">
      <c r="A753" s="29" t="s">
        <v>100</v>
      </c>
      <c r="B753" s="57" t="s">
        <v>99</v>
      </c>
      <c r="C753" s="56" t="s">
        <v>50</v>
      </c>
      <c r="D753" s="52">
        <v>197.0248</v>
      </c>
      <c r="E753" s="51" t="s">
        <v>49</v>
      </c>
    </row>
    <row r="754" spans="1:5" ht="15.75">
      <c r="A754" s="55"/>
      <c r="B754" s="54"/>
      <c r="C754" s="53"/>
      <c r="D754" s="52">
        <v>2.9510700000000001</v>
      </c>
      <c r="E754" s="51" t="s">
        <v>3</v>
      </c>
    </row>
    <row r="755" spans="1:5" ht="76.5" customHeight="1">
      <c r="A755" s="29" t="s">
        <v>98</v>
      </c>
      <c r="B755" s="57" t="s">
        <v>97</v>
      </c>
      <c r="C755" s="56" t="s">
        <v>50</v>
      </c>
      <c r="D755" s="52"/>
      <c r="E755" s="51"/>
    </row>
    <row r="756" spans="1:5" ht="15.75">
      <c r="A756" s="55"/>
      <c r="B756" s="54"/>
      <c r="C756" s="53"/>
      <c r="D756" s="52"/>
      <c r="E756" s="51"/>
    </row>
    <row r="757" spans="1:5" ht="76.5" customHeight="1">
      <c r="A757" s="29" t="s">
        <v>96</v>
      </c>
      <c r="B757" s="57" t="s">
        <v>95</v>
      </c>
      <c r="C757" s="56" t="s">
        <v>50</v>
      </c>
      <c r="D757" s="52">
        <v>197.092521</v>
      </c>
      <c r="E757" s="51" t="s">
        <v>53</v>
      </c>
    </row>
    <row r="758" spans="1:5" ht="15.75">
      <c r="A758" s="55"/>
      <c r="B758" s="54"/>
      <c r="C758" s="53"/>
      <c r="D758" s="52">
        <v>2.9034499999999999</v>
      </c>
      <c r="E758" s="51" t="s">
        <v>3</v>
      </c>
    </row>
    <row r="759" spans="1:5" ht="76.5" customHeight="1">
      <c r="A759" s="29" t="s">
        <v>94</v>
      </c>
      <c r="B759" s="57" t="s">
        <v>93</v>
      </c>
      <c r="C759" s="56" t="s">
        <v>50</v>
      </c>
      <c r="D759" s="52">
        <v>197.00640000000001</v>
      </c>
      <c r="E759" s="64" t="s">
        <v>92</v>
      </c>
    </row>
    <row r="760" spans="1:5" ht="15.75">
      <c r="A760" s="55"/>
      <c r="B760" s="54"/>
      <c r="C760" s="53"/>
      <c r="D760" s="52">
        <v>2.9224700000000001</v>
      </c>
      <c r="E760" s="51" t="s">
        <v>3</v>
      </c>
    </row>
    <row r="761" spans="1:5" ht="76.5" customHeight="1">
      <c r="A761" s="29" t="s">
        <v>91</v>
      </c>
      <c r="B761" s="57" t="s">
        <v>90</v>
      </c>
      <c r="C761" s="56" t="s">
        <v>50</v>
      </c>
      <c r="D761" s="52">
        <v>196.94764000000001</v>
      </c>
      <c r="E761" s="51" t="s">
        <v>53</v>
      </c>
    </row>
    <row r="762" spans="1:5" ht="15.75">
      <c r="A762" s="55"/>
      <c r="B762" s="54"/>
      <c r="C762" s="53"/>
      <c r="D762" s="52">
        <v>2.9019300000000001</v>
      </c>
      <c r="E762" s="51" t="s">
        <v>3</v>
      </c>
    </row>
    <row r="763" spans="1:5" ht="76.5" customHeight="1">
      <c r="A763" s="29" t="s">
        <v>89</v>
      </c>
      <c r="B763" s="57" t="s">
        <v>88</v>
      </c>
      <c r="C763" s="56" t="s">
        <v>50</v>
      </c>
      <c r="D763" s="52">
        <v>197.03881999999999</v>
      </c>
      <c r="E763" s="51" t="s">
        <v>53</v>
      </c>
    </row>
    <row r="764" spans="1:5" ht="15.75">
      <c r="A764" s="55"/>
      <c r="B764" s="54"/>
      <c r="C764" s="53"/>
      <c r="D764" s="52">
        <v>2.90937</v>
      </c>
      <c r="E764" s="51" t="s">
        <v>3</v>
      </c>
    </row>
    <row r="765" spans="1:5" ht="76.5" customHeight="1">
      <c r="A765" s="29" t="s">
        <v>87</v>
      </c>
      <c r="B765" s="57" t="s">
        <v>86</v>
      </c>
      <c r="C765" s="56" t="s">
        <v>50</v>
      </c>
      <c r="D765" s="52"/>
      <c r="E765" s="58"/>
    </row>
    <row r="766" spans="1:5" ht="15.75">
      <c r="A766" s="55"/>
      <c r="B766" s="54"/>
      <c r="C766" s="53"/>
      <c r="D766" s="52"/>
      <c r="E766" s="58"/>
    </row>
    <row r="767" spans="1:5" ht="76.5" customHeight="1">
      <c r="A767" s="29" t="s">
        <v>85</v>
      </c>
      <c r="B767" s="57" t="s">
        <v>84</v>
      </c>
      <c r="C767" s="56" t="s">
        <v>50</v>
      </c>
      <c r="D767" s="52">
        <v>196.98065</v>
      </c>
      <c r="E767" s="51" t="s">
        <v>53</v>
      </c>
    </row>
    <row r="768" spans="1:5" ht="15.75">
      <c r="A768" s="55"/>
      <c r="B768" s="54"/>
      <c r="C768" s="53"/>
      <c r="D768" s="52">
        <v>2.91506</v>
      </c>
      <c r="E768" s="51" t="s">
        <v>3</v>
      </c>
    </row>
    <row r="769" spans="1:5" ht="76.5" customHeight="1">
      <c r="A769" s="29" t="s">
        <v>83</v>
      </c>
      <c r="B769" s="57" t="s">
        <v>82</v>
      </c>
      <c r="C769" s="56" t="s">
        <v>50</v>
      </c>
      <c r="D769" s="52">
        <v>197.01463000000001</v>
      </c>
      <c r="E769" s="51" t="s">
        <v>53</v>
      </c>
    </row>
    <row r="770" spans="1:5" ht="15.75">
      <c r="A770" s="55"/>
      <c r="B770" s="54"/>
      <c r="C770" s="53"/>
      <c r="D770" s="52">
        <v>2.9124099999999999</v>
      </c>
      <c r="E770" s="51" t="s">
        <v>3</v>
      </c>
    </row>
    <row r="771" spans="1:5" ht="76.5" customHeight="1">
      <c r="A771" s="29" t="s">
        <v>81</v>
      </c>
      <c r="B771" s="57" t="s">
        <v>80</v>
      </c>
      <c r="C771" s="56" t="s">
        <v>50</v>
      </c>
      <c r="D771" s="52"/>
      <c r="E771" s="51"/>
    </row>
    <row r="772" spans="1:5" ht="15.75">
      <c r="A772" s="63"/>
      <c r="B772" s="63"/>
      <c r="C772" s="53"/>
      <c r="D772" s="52"/>
      <c r="E772" s="51"/>
    </row>
    <row r="773" spans="1:5" ht="76.5" customHeight="1">
      <c r="A773" s="29" t="s">
        <v>79</v>
      </c>
      <c r="B773" s="57" t="s">
        <v>78</v>
      </c>
      <c r="C773" s="56" t="s">
        <v>50</v>
      </c>
      <c r="D773" s="52">
        <v>196.99768</v>
      </c>
      <c r="E773" s="51" t="s">
        <v>58</v>
      </c>
    </row>
    <row r="774" spans="1:5" ht="15.75">
      <c r="A774" s="55"/>
      <c r="B774" s="54"/>
      <c r="C774" s="53"/>
      <c r="D774" s="52">
        <v>2.8559399999999999</v>
      </c>
      <c r="E774" s="51" t="s">
        <v>3</v>
      </c>
    </row>
    <row r="775" spans="1:5" ht="76.5" customHeight="1">
      <c r="A775" s="29" t="s">
        <v>77</v>
      </c>
      <c r="B775" s="57" t="s">
        <v>76</v>
      </c>
      <c r="C775" s="56" t="s">
        <v>50</v>
      </c>
      <c r="D775" s="52">
        <v>172.37033</v>
      </c>
      <c r="E775" s="51" t="s">
        <v>53</v>
      </c>
    </row>
    <row r="776" spans="1:5">
      <c r="A776" s="55"/>
      <c r="B776" s="54"/>
      <c r="C776" s="53"/>
      <c r="D776" s="62">
        <v>2.5219900000000002</v>
      </c>
      <c r="E776" s="51" t="s">
        <v>3</v>
      </c>
    </row>
    <row r="777" spans="1:5" ht="76.5" customHeight="1">
      <c r="A777" s="29" t="s">
        <v>75</v>
      </c>
      <c r="B777" s="43" t="s">
        <v>74</v>
      </c>
      <c r="C777" s="56" t="s">
        <v>50</v>
      </c>
      <c r="D777" s="61">
        <v>197.03</v>
      </c>
      <c r="E777" s="51" t="s">
        <v>49</v>
      </c>
    </row>
    <row r="778" spans="1:5" ht="15.75">
      <c r="A778" s="55"/>
      <c r="B778" s="40"/>
      <c r="C778" s="53"/>
      <c r="D778" s="61">
        <v>2.9507099999999999</v>
      </c>
      <c r="E778" s="51" t="s">
        <v>3</v>
      </c>
    </row>
    <row r="779" spans="1:5" ht="76.5" customHeight="1">
      <c r="A779" s="29" t="s">
        <v>73</v>
      </c>
      <c r="B779" s="57" t="s">
        <v>72</v>
      </c>
      <c r="C779" s="56" t="s">
        <v>50</v>
      </c>
      <c r="D779" s="52">
        <v>156.40671</v>
      </c>
      <c r="E779" s="51" t="s">
        <v>53</v>
      </c>
    </row>
    <row r="780" spans="1:5" ht="15.75">
      <c r="A780" s="55"/>
      <c r="B780" s="54"/>
      <c r="C780" s="53"/>
      <c r="D780" s="52">
        <v>2.3159800000000001</v>
      </c>
      <c r="E780" s="51" t="s">
        <v>3</v>
      </c>
    </row>
    <row r="781" spans="1:5" ht="76.5" customHeight="1">
      <c r="A781" s="29" t="s">
        <v>71</v>
      </c>
      <c r="B781" s="57" t="s">
        <v>70</v>
      </c>
      <c r="C781" s="56" t="s">
        <v>50</v>
      </c>
      <c r="D781" s="52">
        <v>196.81700000000001</v>
      </c>
      <c r="E781" s="58" t="s">
        <v>69</v>
      </c>
    </row>
    <row r="782" spans="1:5" ht="15.75">
      <c r="A782" s="55"/>
      <c r="B782" s="54"/>
      <c r="C782" s="53"/>
      <c r="D782" s="52">
        <v>2.9421900000000001</v>
      </c>
      <c r="E782" s="51" t="s">
        <v>3</v>
      </c>
    </row>
    <row r="783" spans="1:5" ht="76.5">
      <c r="A783" s="60" t="s">
        <v>68</v>
      </c>
      <c r="B783" s="35" t="s">
        <v>67</v>
      </c>
      <c r="C783" s="59" t="s">
        <v>50</v>
      </c>
      <c r="D783" s="52"/>
      <c r="E783" s="58"/>
    </row>
    <row r="784" spans="1:5" ht="76.5" customHeight="1">
      <c r="A784" s="29" t="s">
        <v>66</v>
      </c>
      <c r="B784" s="57" t="s">
        <v>65</v>
      </c>
      <c r="C784" s="56" t="s">
        <v>50</v>
      </c>
      <c r="D784" s="52">
        <v>177.32840999999999</v>
      </c>
      <c r="E784" s="51" t="s">
        <v>53</v>
      </c>
    </row>
    <row r="785" spans="1:5" ht="15.75">
      <c r="A785" s="55"/>
      <c r="B785" s="54"/>
      <c r="C785" s="53"/>
      <c r="D785" s="52">
        <v>2.6186199999999999</v>
      </c>
      <c r="E785" s="58" t="s">
        <v>30</v>
      </c>
    </row>
    <row r="786" spans="1:5" ht="76.5" customHeight="1">
      <c r="A786" s="29" t="s">
        <v>64</v>
      </c>
      <c r="B786" s="57" t="s">
        <v>63</v>
      </c>
      <c r="C786" s="56" t="s">
        <v>50</v>
      </c>
      <c r="D786" s="52">
        <v>136.78984</v>
      </c>
      <c r="E786" s="51" t="s">
        <v>53</v>
      </c>
    </row>
    <row r="787" spans="1:5" ht="15.75">
      <c r="A787" s="55"/>
      <c r="B787" s="54"/>
      <c r="C787" s="53"/>
      <c r="D787" s="52">
        <v>2.00488</v>
      </c>
      <c r="E787" s="58" t="s">
        <v>30</v>
      </c>
    </row>
    <row r="788" spans="1:5" ht="76.5" customHeight="1">
      <c r="A788" s="29" t="s">
        <v>62</v>
      </c>
      <c r="B788" s="57" t="s">
        <v>61</v>
      </c>
      <c r="C788" s="56" t="s">
        <v>50</v>
      </c>
      <c r="D788" s="52">
        <v>156.73543000000001</v>
      </c>
      <c r="E788" s="51" t="s">
        <v>53</v>
      </c>
    </row>
    <row r="789" spans="1:5" ht="15.75">
      <c r="A789" s="55"/>
      <c r="B789" s="54"/>
      <c r="C789" s="53"/>
      <c r="D789" s="52">
        <v>2.3087300000000002</v>
      </c>
      <c r="E789" s="58" t="s">
        <v>30</v>
      </c>
    </row>
    <row r="790" spans="1:5" ht="76.5" customHeight="1">
      <c r="A790" s="29" t="s">
        <v>60</v>
      </c>
      <c r="B790" s="57" t="s">
        <v>59</v>
      </c>
      <c r="C790" s="56" t="s">
        <v>50</v>
      </c>
      <c r="D790" s="52">
        <v>170.03157999999999</v>
      </c>
      <c r="E790" s="51" t="s">
        <v>58</v>
      </c>
    </row>
    <row r="791" spans="1:5" ht="15.75">
      <c r="A791" s="55"/>
      <c r="B791" s="54"/>
      <c r="C791" s="53"/>
      <c r="D791" s="52">
        <v>2.4731399999999999</v>
      </c>
      <c r="E791" s="51" t="s">
        <v>3</v>
      </c>
    </row>
    <row r="792" spans="1:5" ht="76.5" customHeight="1">
      <c r="A792" s="29" t="s">
        <v>57</v>
      </c>
      <c r="B792" s="57" t="s">
        <v>56</v>
      </c>
      <c r="C792" s="56" t="s">
        <v>50</v>
      </c>
      <c r="D792" s="52">
        <v>196.94319999999999</v>
      </c>
      <c r="E792" s="51" t="s">
        <v>53</v>
      </c>
    </row>
    <row r="793" spans="1:5" ht="15.75">
      <c r="A793" s="55"/>
      <c r="B793" s="54"/>
      <c r="C793" s="53"/>
      <c r="D793" s="52">
        <v>2.90625</v>
      </c>
      <c r="E793" s="51" t="s">
        <v>3</v>
      </c>
    </row>
    <row r="794" spans="1:5" ht="76.5" customHeight="1">
      <c r="A794" s="29" t="s">
        <v>55</v>
      </c>
      <c r="B794" s="57" t="s">
        <v>54</v>
      </c>
      <c r="C794" s="56" t="s">
        <v>50</v>
      </c>
      <c r="D794" s="52">
        <v>196.98871</v>
      </c>
      <c r="E794" s="51" t="s">
        <v>53</v>
      </c>
    </row>
    <row r="795" spans="1:5" ht="15.75">
      <c r="A795" s="55"/>
      <c r="B795" s="54"/>
      <c r="C795" s="53"/>
      <c r="D795" s="52">
        <v>2.8902299999999999</v>
      </c>
      <c r="E795" s="51" t="s">
        <v>3</v>
      </c>
    </row>
    <row r="796" spans="1:5" ht="76.5" customHeight="1">
      <c r="A796" s="29" t="s">
        <v>52</v>
      </c>
      <c r="B796" s="57" t="s">
        <v>51</v>
      </c>
      <c r="C796" s="56" t="s">
        <v>50</v>
      </c>
      <c r="D796" s="52">
        <v>17.445</v>
      </c>
      <c r="E796" s="51" t="s">
        <v>49</v>
      </c>
    </row>
    <row r="797" spans="1:5" ht="15.75">
      <c r="A797" s="55"/>
      <c r="B797" s="54"/>
      <c r="C797" s="53"/>
      <c r="D797" s="52">
        <v>0.25974000000000003</v>
      </c>
      <c r="E797" s="51" t="s">
        <v>3</v>
      </c>
    </row>
    <row r="798" spans="1:5" ht="15.75">
      <c r="A798" s="24" t="s">
        <v>16</v>
      </c>
      <c r="B798" s="23"/>
      <c r="C798" s="30"/>
      <c r="D798" s="3">
        <f>SUM(D751:D797)</f>
        <v>3587.860341000001</v>
      </c>
      <c r="E798" s="22"/>
    </row>
    <row r="799" spans="1:5" ht="51">
      <c r="A799" s="28" t="s">
        <v>48</v>
      </c>
      <c r="B799" s="43" t="s">
        <v>47</v>
      </c>
      <c r="C799" s="42" t="s">
        <v>32</v>
      </c>
      <c r="D799" s="37">
        <v>75.590369999999993</v>
      </c>
      <c r="E799" s="36" t="s">
        <v>46</v>
      </c>
    </row>
    <row r="800" spans="1:5">
      <c r="A800" s="39"/>
      <c r="B800" s="40"/>
      <c r="C800" s="38"/>
      <c r="D800" s="50"/>
      <c r="E800" s="36"/>
    </row>
    <row r="801" spans="1:5" ht="89.25">
      <c r="A801" s="48" t="s">
        <v>45</v>
      </c>
      <c r="B801" s="47" t="s">
        <v>44</v>
      </c>
      <c r="C801" s="42" t="s">
        <v>32</v>
      </c>
      <c r="D801" s="50">
        <v>195.40056000000001</v>
      </c>
      <c r="E801" s="36" t="s">
        <v>43</v>
      </c>
    </row>
    <row r="802" spans="1:5">
      <c r="A802" s="46"/>
      <c r="B802" s="45"/>
      <c r="C802" s="38"/>
      <c r="D802" s="50">
        <v>3.0566399999999998</v>
      </c>
      <c r="E802" s="36" t="s">
        <v>30</v>
      </c>
    </row>
    <row r="803" spans="1:5" ht="51">
      <c r="A803" s="48" t="s">
        <v>42</v>
      </c>
      <c r="B803" s="47" t="s">
        <v>41</v>
      </c>
      <c r="C803" s="42" t="s">
        <v>32</v>
      </c>
      <c r="D803" s="50">
        <v>196.99266</v>
      </c>
      <c r="E803" s="36" t="s">
        <v>36</v>
      </c>
    </row>
    <row r="804" spans="1:5">
      <c r="A804" s="46"/>
      <c r="B804" s="45"/>
      <c r="C804" s="38"/>
      <c r="D804" s="50">
        <v>2.90585</v>
      </c>
      <c r="E804" s="36" t="s">
        <v>35</v>
      </c>
    </row>
    <row r="805" spans="1:5" ht="76.5">
      <c r="A805" s="48" t="s">
        <v>40</v>
      </c>
      <c r="B805" s="47" t="s">
        <v>39</v>
      </c>
      <c r="C805" s="42" t="s">
        <v>32</v>
      </c>
      <c r="D805" s="49">
        <v>197.04986</v>
      </c>
      <c r="E805" s="44" t="s">
        <v>36</v>
      </c>
    </row>
    <row r="806" spans="1:5">
      <c r="A806" s="46"/>
      <c r="B806" s="45"/>
      <c r="C806" s="38"/>
      <c r="D806" s="49">
        <v>2.93011</v>
      </c>
      <c r="E806" s="44" t="s">
        <v>30</v>
      </c>
    </row>
    <row r="807" spans="1:5" ht="51">
      <c r="A807" s="48" t="s">
        <v>38</v>
      </c>
      <c r="B807" s="47" t="s">
        <v>37</v>
      </c>
      <c r="C807" s="42" t="s">
        <v>32</v>
      </c>
      <c r="D807" s="37">
        <v>27.657599999999999</v>
      </c>
      <c r="E807" s="44" t="s">
        <v>36</v>
      </c>
    </row>
    <row r="808" spans="1:5">
      <c r="A808" s="46"/>
      <c r="B808" s="45"/>
      <c r="C808" s="38"/>
      <c r="D808" s="37">
        <v>0.42938999999999999</v>
      </c>
      <c r="E808" s="44" t="s">
        <v>35</v>
      </c>
    </row>
    <row r="809" spans="1:5" ht="51">
      <c r="A809" s="43" t="s">
        <v>34</v>
      </c>
      <c r="B809" s="28" t="s">
        <v>33</v>
      </c>
      <c r="C809" s="42" t="s">
        <v>32</v>
      </c>
      <c r="D809" s="37">
        <v>34.238509999999998</v>
      </c>
      <c r="E809" s="41" t="s">
        <v>31</v>
      </c>
    </row>
    <row r="810" spans="1:5">
      <c r="A810" s="40"/>
      <c r="B810" s="39"/>
      <c r="C810" s="38"/>
      <c r="D810" s="37">
        <v>0.53322000000000003</v>
      </c>
      <c r="E810" s="36" t="s">
        <v>30</v>
      </c>
    </row>
    <row r="811" spans="1:5" ht="15.75">
      <c r="A811" s="24"/>
      <c r="B811" s="23"/>
      <c r="C811" s="30"/>
      <c r="D811" s="3">
        <f>SUM(D799:D810)</f>
        <v>736.78477000000009</v>
      </c>
      <c r="E811" s="22"/>
    </row>
    <row r="812" spans="1:5" ht="38.25">
      <c r="A812" s="32" t="s">
        <v>29</v>
      </c>
      <c r="B812" s="35" t="s">
        <v>28</v>
      </c>
      <c r="C812" s="30" t="s">
        <v>23</v>
      </c>
      <c r="D812" s="34">
        <v>47.254010000000001</v>
      </c>
      <c r="E812" s="33" t="s">
        <v>22</v>
      </c>
    </row>
    <row r="813" spans="1:5" ht="38.25">
      <c r="A813" s="32" t="s">
        <v>27</v>
      </c>
      <c r="B813" s="35" t="s">
        <v>26</v>
      </c>
      <c r="C813" s="30" t="s">
        <v>23</v>
      </c>
      <c r="D813" s="34">
        <v>36.75074</v>
      </c>
      <c r="E813" s="33" t="s">
        <v>22</v>
      </c>
    </row>
    <row r="814" spans="1:5" ht="51">
      <c r="A814" s="32" t="s">
        <v>25</v>
      </c>
      <c r="B814" s="35" t="s">
        <v>24</v>
      </c>
      <c r="C814" s="30" t="s">
        <v>23</v>
      </c>
      <c r="D814" s="34">
        <v>25.831430000000001</v>
      </c>
      <c r="E814" s="33" t="s">
        <v>22</v>
      </c>
    </row>
    <row r="815" spans="1:5" ht="15.75">
      <c r="A815" s="24" t="s">
        <v>16</v>
      </c>
      <c r="B815" s="23"/>
      <c r="C815" s="6"/>
      <c r="D815" s="3">
        <f>SUM(D812:D814)</f>
        <v>109.83618</v>
      </c>
      <c r="E815" s="22"/>
    </row>
    <row r="816" spans="1:5" ht="38.25">
      <c r="A816" s="32"/>
      <c r="B816" s="31" t="s">
        <v>21</v>
      </c>
      <c r="C816" s="30" t="s">
        <v>17</v>
      </c>
      <c r="D816" s="26">
        <v>91.80977</v>
      </c>
      <c r="E816" s="25" t="s">
        <v>20</v>
      </c>
    </row>
    <row r="817" spans="1:5" ht="76.5">
      <c r="A817" s="29" t="s">
        <v>19</v>
      </c>
      <c r="B817" s="28" t="s">
        <v>18</v>
      </c>
      <c r="C817" s="27" t="s">
        <v>17</v>
      </c>
      <c r="D817" s="26">
        <v>1.4325300000000001</v>
      </c>
      <c r="E817" s="25" t="s">
        <v>3</v>
      </c>
    </row>
    <row r="818" spans="1:5" ht="15.75">
      <c r="A818" s="24" t="s">
        <v>16</v>
      </c>
      <c r="B818" s="23"/>
      <c r="C818" s="8"/>
      <c r="D818" s="3">
        <f>D816+D817</f>
        <v>93.2423</v>
      </c>
      <c r="E818" s="22"/>
    </row>
    <row r="819" spans="1:5" ht="51" customHeight="1">
      <c r="A819" s="21" t="s">
        <v>15</v>
      </c>
      <c r="B819" s="15" t="s">
        <v>14</v>
      </c>
      <c r="C819" s="20" t="s">
        <v>8</v>
      </c>
      <c r="D819" s="16">
        <v>196.92055999999999</v>
      </c>
      <c r="E819" s="19" t="s">
        <v>7</v>
      </c>
    </row>
    <row r="820" spans="1:5">
      <c r="A820" s="18"/>
      <c r="B820" s="13"/>
      <c r="C820" s="17"/>
      <c r="D820" s="16">
        <v>2.9144299999999999</v>
      </c>
      <c r="E820" s="11" t="s">
        <v>6</v>
      </c>
    </row>
    <row r="821" spans="1:5" ht="51" customHeight="1">
      <c r="A821" s="21" t="s">
        <v>13</v>
      </c>
      <c r="B821" s="15" t="s">
        <v>12</v>
      </c>
      <c r="C821" s="20" t="s">
        <v>8</v>
      </c>
      <c r="D821" s="16">
        <v>46.536999999999999</v>
      </c>
      <c r="E821" s="11" t="s">
        <v>11</v>
      </c>
    </row>
    <row r="822" spans="1:5">
      <c r="A822" s="18"/>
      <c r="B822" s="13"/>
      <c r="C822" s="17"/>
      <c r="D822" s="16">
        <v>0.69581000000000004</v>
      </c>
      <c r="E822" s="11" t="s">
        <v>3</v>
      </c>
    </row>
    <row r="823" spans="1:5" ht="51" customHeight="1">
      <c r="A823" s="21" t="s">
        <v>10</v>
      </c>
      <c r="B823" s="15" t="s">
        <v>9</v>
      </c>
      <c r="C823" s="20" t="s">
        <v>8</v>
      </c>
      <c r="D823" s="16">
        <v>149.73086000000001</v>
      </c>
      <c r="E823" s="19" t="s">
        <v>7</v>
      </c>
    </row>
    <row r="824" spans="1:5">
      <c r="A824" s="18"/>
      <c r="B824" s="13"/>
      <c r="C824" s="17"/>
      <c r="D824" s="16">
        <v>2.21448</v>
      </c>
      <c r="E824" s="11" t="s">
        <v>6</v>
      </c>
    </row>
    <row r="825" spans="1:5" ht="25.5" customHeight="1">
      <c r="A825" s="15"/>
      <c r="B825" s="15" t="s">
        <v>5</v>
      </c>
      <c r="C825" s="15" t="s">
        <v>5</v>
      </c>
      <c r="D825" s="12">
        <v>196.20122000000001</v>
      </c>
      <c r="E825" s="14" t="s">
        <v>4</v>
      </c>
    </row>
    <row r="826" spans="1:5" ht="15.75">
      <c r="A826" s="13"/>
      <c r="B826" s="13"/>
      <c r="C826" s="13"/>
      <c r="D826" s="12">
        <v>2.8980800000000002</v>
      </c>
      <c r="E826" s="11" t="s">
        <v>3</v>
      </c>
    </row>
    <row r="827" spans="1:5" ht="15.75">
      <c r="A827" s="10" t="s">
        <v>2</v>
      </c>
      <c r="B827" s="9"/>
      <c r="C827" s="8"/>
      <c r="D827" s="7">
        <f>D825+D826+D822+D821+D820+D819+D823+D824</f>
        <v>598.11243999999999</v>
      </c>
      <c r="E827" s="6"/>
    </row>
    <row r="828" spans="1:5" ht="15.75">
      <c r="A828" s="5" t="s">
        <v>1</v>
      </c>
      <c r="B828" s="4"/>
      <c r="C828" s="2" t="s">
        <v>0</v>
      </c>
      <c r="D828" s="3">
        <v>5125.8360310000016</v>
      </c>
      <c r="E828" s="2" t="s">
        <v>0</v>
      </c>
    </row>
  </sheetData>
  <autoFilter ref="A3:E828"/>
  <mergeCells count="87">
    <mergeCell ref="B825:B826"/>
    <mergeCell ref="C825:C826"/>
    <mergeCell ref="A825:A826"/>
    <mergeCell ref="A821:A822"/>
    <mergeCell ref="B821:B822"/>
    <mergeCell ref="C821:C822"/>
    <mergeCell ref="A823:A824"/>
    <mergeCell ref="B823:B824"/>
    <mergeCell ref="C823:C824"/>
    <mergeCell ref="C805:C806"/>
    <mergeCell ref="C807:C808"/>
    <mergeCell ref="C809:C810"/>
    <mergeCell ref="C819:C820"/>
    <mergeCell ref="B819:B820"/>
    <mergeCell ref="A819:A820"/>
    <mergeCell ref="C796:C797"/>
    <mergeCell ref="C794:C795"/>
    <mergeCell ref="C792:C793"/>
    <mergeCell ref="C799:C800"/>
    <mergeCell ref="C801:C802"/>
    <mergeCell ref="C803:C804"/>
    <mergeCell ref="C753:C754"/>
    <mergeCell ref="C755:C756"/>
    <mergeCell ref="C751:C752"/>
    <mergeCell ref="C784:C785"/>
    <mergeCell ref="C765:C766"/>
    <mergeCell ref="C767:C768"/>
    <mergeCell ref="C763:C764"/>
    <mergeCell ref="C761:C762"/>
    <mergeCell ref="C759:C760"/>
    <mergeCell ref="C773:C774"/>
    <mergeCell ref="C790:C791"/>
    <mergeCell ref="C788:C789"/>
    <mergeCell ref="C786:C787"/>
    <mergeCell ref="C779:C780"/>
    <mergeCell ref="C781:C782"/>
    <mergeCell ref="C757:C758"/>
    <mergeCell ref="C775:C776"/>
    <mergeCell ref="C771:C772"/>
    <mergeCell ref="C769:C770"/>
    <mergeCell ref="C777:C778"/>
    <mergeCell ref="A619:B619"/>
    <mergeCell ref="A625:B625"/>
    <mergeCell ref="A629:A630"/>
    <mergeCell ref="B629:B630"/>
    <mergeCell ref="A631:B631"/>
    <mergeCell ref="A608:E608"/>
    <mergeCell ref="A126:E126"/>
    <mergeCell ref="A707:E707"/>
    <mergeCell ref="A750:E750"/>
    <mergeCell ref="A663:B663"/>
    <mergeCell ref="A633:B633"/>
    <mergeCell ref="A635:B635"/>
    <mergeCell ref="A636:A637"/>
    <mergeCell ref="B636:B637"/>
    <mergeCell ref="A638:A639"/>
    <mergeCell ref="B638:B639"/>
    <mergeCell ref="A599:E599"/>
    <mergeCell ref="A602:E602"/>
    <mergeCell ref="A605:E605"/>
    <mergeCell ref="A1:E1"/>
    <mergeCell ref="A2:E2"/>
    <mergeCell ref="A3:A4"/>
    <mergeCell ref="B3:B4"/>
    <mergeCell ref="C3:C4"/>
    <mergeCell ref="E3:E4"/>
    <mergeCell ref="D3:D4"/>
    <mergeCell ref="B615:B616"/>
    <mergeCell ref="A611:E611"/>
    <mergeCell ref="A613:A614"/>
    <mergeCell ref="B613:B614"/>
    <mergeCell ref="A130:E130"/>
    <mergeCell ref="A617:A618"/>
    <mergeCell ref="B617:B618"/>
    <mergeCell ref="A580:E580"/>
    <mergeCell ref="A589:E589"/>
    <mergeCell ref="A596:E596"/>
    <mergeCell ref="A583:E583"/>
    <mergeCell ref="A586:E586"/>
    <mergeCell ref="A10:E10"/>
    <mergeCell ref="A133:E133"/>
    <mergeCell ref="A665:E665"/>
    <mergeCell ref="A5:E5"/>
    <mergeCell ref="A592:E592"/>
    <mergeCell ref="A122:E122"/>
    <mergeCell ref="A173:E173"/>
    <mergeCell ref="A615:A616"/>
  </mergeCells>
  <pageMargins left="0.70866141732283472" right="0.70866141732283472" top="0.74803149606299213" bottom="0.74803149606299213" header="0.31496062992125984" footer="0.31496062992125984"/>
  <pageSetup paperSize="9" scale="28" fitToHeight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Поточні ремонти</vt:lpstr>
      <vt:lpstr>'Поточні ремонти'!Заголовки_для_печати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User_452d</dc:creator>
  <cp:lastModifiedBy>User_452d</cp:lastModifiedBy>
  <dcterms:created xsi:type="dcterms:W3CDTF">2020-05-13T07:36:22Z</dcterms:created>
  <dcterms:modified xsi:type="dcterms:W3CDTF">2020-05-13T07:37:17Z</dcterms:modified>
</cp:coreProperties>
</file>