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0" windowWidth="19200" windowHeight="7350"/>
  </bookViews>
  <sheets>
    <sheet name="общее" sheetId="1" r:id="rId1"/>
    <sheet name="Лист1" sheetId="2" r:id="rId2"/>
  </sheets>
  <definedNames>
    <definedName name="_xlnm._FilterDatabase" localSheetId="0" hidden="1">общее!$A$8:$CL$372</definedName>
    <definedName name="Z_005F280F_9A8C_4D61_A462_F589D592D290_.wvu.FilterData" localSheetId="0" hidden="1">общее!$A$8:$J$365</definedName>
    <definedName name="Z_027FE178_1172_4222_AF5C_23D964AF488A_.wvu.FilterData" localSheetId="0" hidden="1">общее!$A$6:$J$8</definedName>
    <definedName name="Z_0344C8F5_CCC1_4DA4_B4BA_9CEFB0A093F3_.wvu.FilterData" localSheetId="0" hidden="1">общее!$A$8:$J$365</definedName>
    <definedName name="Z_0419BBFE_F3CF_4518_8D24_82FEA8B7DDD6_.wvu.FilterData" localSheetId="0" hidden="1">общее!$A$8:$J$543</definedName>
    <definedName name="Z_06B1F1AE_9936_453D_B440_89FD7733A859_.wvu.FilterData" localSheetId="0" hidden="1">общее!$A$8:$J$441</definedName>
    <definedName name="Z_06B33669_D909_4CD8_806F_33C009B9DF0A_.wvu.FilterData" localSheetId="0" hidden="1">общее!$A$8:$J$310</definedName>
    <definedName name="Z_08491732_1BAF_49CD_8956_D3E9C2B85304_.wvu.FilterData" localSheetId="0" hidden="1">общее!$A$8:$J$365</definedName>
    <definedName name="Z_09F33DD9_E062_4B93_90BA_A6E8876D9E62_.wvu.FilterData" localSheetId="0" hidden="1">общее!$A$6:$J$8</definedName>
    <definedName name="Z_0B19D168_858D_4BCF_80E5_C18DD77CBE9F_.wvu.FilterData" localSheetId="0" hidden="1">общее!$A$6:$J$8</definedName>
    <definedName name="Z_0BDDB9FE_C07B_4E21_8514_F3881AE78CD6_.wvu.FilterData" localSheetId="0" hidden="1">общее!$A$8:$J$365</definedName>
    <definedName name="Z_0C71E80D_0254_4693_A8EC_34A4BD1A6F73_.wvu.FilterData" localSheetId="0" hidden="1">общее!$A$6:$J$8</definedName>
    <definedName name="Z_0CBA335B_0DD8_471B_913E_91954D8A7DE8_.wvu.FilterData" localSheetId="0" hidden="1">общее!$A$8:$J$310</definedName>
    <definedName name="Z_0EDC1FFF_2611_4DAC_98A8_22EC25025967_.wvu.FilterData" localSheetId="0" hidden="1">общее!$A$8:$J$441</definedName>
    <definedName name="Z_0F954C44_2E2C_4880_A030_4864EA711FE0_.wvu.FilterData" localSheetId="0" hidden="1">общее!$A$8:$J$543</definedName>
    <definedName name="Z_110BDF82_DEEB_4DFF_93DC_10599C38B57F_.wvu.FilterData" localSheetId="0" hidden="1">общее!$A$8:$J$310</definedName>
    <definedName name="Z_16D4F077_2EAE_4B98_A742_A1CD9A7B633C_.wvu.FilterData" localSheetId="0" hidden="1">общее!$A$8:$J$441</definedName>
    <definedName name="Z_1748D69A_4DB3_487A_8AD7_C0B3B71D3FB6_.wvu.FilterData" localSheetId="0" hidden="1">общее!$A$6:$J$8</definedName>
    <definedName name="Z_1862B7E4_4060_4370_88AF_4829C34881B7_.wvu.FilterData" localSheetId="0" hidden="1">общее!$A$8:$J$543</definedName>
    <definedName name="Z_194CC79D_B426_45A9_B4B4_0D8713FDEBCE_.wvu.FilterData" localSheetId="0" hidden="1">общее!$A$8:$J$310</definedName>
    <definedName name="Z_1BA267BF_F5D4_4EB6_B077_27E074A28B2C_.wvu.FilterData" localSheetId="0" hidden="1">общее!$A$8:$J$543</definedName>
    <definedName name="Z_1BDFBE17_25BB_4BB9_B67F_4757B39B2D64_.wvu.FilterData" localSheetId="0" hidden="1">общее!$A$8:$J$310</definedName>
    <definedName name="Z_1BDFBE17_25BB_4BB9_B67F_4757B39B2D64_.wvu.Rows" localSheetId="0" hidden="1">общее!#REF!</definedName>
    <definedName name="Z_1D3F5B87_83EB_4F94_9B50_0C99177D99F9_.wvu.FilterData" localSheetId="0" hidden="1">общее!$A$8:$J$310</definedName>
    <definedName name="Z_1E3BB7AF_B756_4A0C_A2BE_D723B28D252A_.wvu.FilterData" localSheetId="0" hidden="1">общее!$A$8:$J$441</definedName>
    <definedName name="Z_1FC076B5_9648_483F_BBEB_68BAECB9E209_.wvu.FilterData" localSheetId="0" hidden="1">общее!$A$8:$J$310</definedName>
    <definedName name="Z_2021983A_3D6E_4804_9038_C33FE9EA644F_.wvu.FilterData" localSheetId="0" hidden="1">общее!$A$8:$J$441</definedName>
    <definedName name="Z_2140268D_DEA7_466F_AE25_EAEFFE2D0081_.wvu.FilterData" localSheetId="0" hidden="1">общее!$A$6:$J$8</definedName>
    <definedName name="Z_21651801_29AF_44DA_B88B_12DD75943577_.wvu.FilterData" localSheetId="0" hidden="1">общее!$A$8:$J$441</definedName>
    <definedName name="Z_221AFC77_C97B_4D44_8163_7AA758A08BF9_.wvu.FilterData" localSheetId="0" hidden="1">общее!$A$8:$J$310</definedName>
    <definedName name="Z_221AFC77_C97B_4D44_8163_7AA758A08BF9_.wvu.PrintArea" localSheetId="0" hidden="1">общее!$A$4:$J$294</definedName>
    <definedName name="Z_221AFC77_C97B_4D44_8163_7AA758A08BF9_.wvu.PrintTitles" localSheetId="0" hidden="1">общее!$8:$8</definedName>
    <definedName name="Z_23143807_1CCE_467D_8F79_FB088A4A08A4_.wvu.FilterData" localSheetId="0" hidden="1">общее!$A$8:$J$543</definedName>
    <definedName name="Z_24E8AEAA_06F7_460E_9064_DAA742C6F748_.wvu.FilterData" localSheetId="0" hidden="1">общее!$A$8:$J$310</definedName>
    <definedName name="Z_24F3E475_1A82_464A_A2B9_6272C75DE965_.wvu.FilterData" localSheetId="0" hidden="1">общее!$A$8:$J$543</definedName>
    <definedName name="Z_258565C2_6F7E_47DA_A97D_5DEA70489C65_.wvu.FilterData" localSheetId="0" hidden="1">общее!$A$8:$J$310</definedName>
    <definedName name="Z_2627E621_2724_4458_A97A_DA4867CC78C7_.wvu.FilterData" localSheetId="0" hidden="1">общее!$A$8:$J$365</definedName>
    <definedName name="Z_26302507_6225_4D5F_830E_9C0EA681B1F9_.wvu.FilterData" localSheetId="0" hidden="1">общее!$A$8:$J$543</definedName>
    <definedName name="Z_2A0A5548_2EEF_4469_A03C_FA481083CE33_.wvu.FilterData" localSheetId="0" hidden="1">общее!$A$8:$J$441</definedName>
    <definedName name="Z_2A4C0749_63B0_4D48_8771_593E99B870CF_.wvu.FilterData" localSheetId="0" hidden="1">общее!$A$8:$J$441</definedName>
    <definedName name="Z_2A873CA7_D1CE_4F50_B607_3E6930776CDE_.wvu.FilterData" localSheetId="0" hidden="1">общее!$A$8:$J$365</definedName>
    <definedName name="Z_2B716970_0AE9_4529_8009_3AC0E7738E74_.wvu.FilterData" localSheetId="0" hidden="1">общее!$A$8:$J$310</definedName>
    <definedName name="Z_2C16AC7D_1F05_4386_90A0_A2DA4836DDE1_.wvu.FilterData" localSheetId="0" hidden="1">общее!$A$8:$J$365</definedName>
    <definedName name="Z_2C18B72E_FABC_405E_9989_871873679CB9_.wvu.FilterData" localSheetId="0" hidden="1">общее!$A$8:$J$310</definedName>
    <definedName name="Z_2D1F835C_2905_49B2_ACB0_6B5DC39ABF77_.wvu.FilterData" localSheetId="0" hidden="1">общее!$A$8:$J$543</definedName>
    <definedName name="Z_2DB33E37_AA0F_4B4B_B7C9_A11BA792B878_.wvu.FilterData" localSheetId="0" hidden="1">общее!$A$6:$J$8</definedName>
    <definedName name="Z_2E403391_C63C_4844_B760_535E5B14235D_.wvu.FilterData" localSheetId="0" hidden="1">общее!$A$8:$J$365</definedName>
    <definedName name="Z_2EA6131F_89B6_4FC5_8D3F_2E657C0F9729_.wvu.FilterData" localSheetId="0" hidden="1">общее!$A$8:$J$365</definedName>
    <definedName name="Z_3054E370_5DE4_4F07_9AEC_8E1396CAD8D6_.wvu.FilterData" localSheetId="0" hidden="1">общее!$A$8:$J$441</definedName>
    <definedName name="Z_30EAEA67_9656_4874_9B82_0AE83C45AB26_.wvu.FilterData" localSheetId="0" hidden="1">общее!$A$8:$J$441</definedName>
    <definedName name="Z_315252D1_A60E_4446_B1ED_7AE241C4BB71_.wvu.FilterData" localSheetId="0" hidden="1">общее!$A$8:$J$441</definedName>
    <definedName name="Z_322077ED_714E_4730_9121_953073B8C43F_.wvu.FilterData" localSheetId="0" hidden="1">общее!$A$8:$J$308</definedName>
    <definedName name="Z_328CDE5C_E0E2_44CE_B73A_F70E81E6C6B2_.wvu.FilterData" localSheetId="0" hidden="1">общее!$A$8:$J$310</definedName>
    <definedName name="Z_33313D92_ACCC_472C_8066_C92558BED64F_.wvu.FilterData" localSheetId="0" hidden="1">общее!$A$8:$J$441</definedName>
    <definedName name="Z_33FCD28F_F474_4478_8228_BBE6129DFD33_.wvu.FilterData" localSheetId="0" hidden="1">общее!$A$8:$J$441</definedName>
    <definedName name="Z_36602011_6F80_4B7E_9881_FDB5866DE132_.wvu.FilterData" localSheetId="0" hidden="1">общее!$A$8:$J$543</definedName>
    <definedName name="Z_3669D157_84D7_4518_A2FA_05770F414005_.wvu.FilterData" localSheetId="0" hidden="1">общее!$A$8:$J$310</definedName>
    <definedName name="Z_3824CD03_2F75_4531_8348_997F8B6518CE_.wvu.FilterData" localSheetId="0" hidden="1">общее!$A$8:$J$310</definedName>
    <definedName name="Z_3882A51E_FD17_4C10_93F2_F0C9B03BC730_.wvu.FilterData" localSheetId="0" hidden="1">общее!$A$8:$J$365</definedName>
    <definedName name="Z_39B9868C_0524_4A04_B50B_22CB89138F2C_.wvu.FilterData" localSheetId="0" hidden="1">общее!$A$8:$J$365</definedName>
    <definedName name="Z_3A3D386F_BF44_4CDF_AECB_A030233CF3BE_.wvu.FilterData" localSheetId="0" hidden="1">общее!$A$8:$J$543</definedName>
    <definedName name="Z_3A5AB62D_FD5B_46FC_A5C8_48D316ED75AE_.wvu.FilterData" localSheetId="0" hidden="1">общее!$A$8:$J$310</definedName>
    <definedName name="Z_3B5575E9_696E_4E1F_8BBE_8483CF318052_.wvu.FilterData" localSheetId="0" hidden="1">общее!$A$6:$J$8</definedName>
    <definedName name="Z_3B5575E9_696E_4E1F_8BBE_8483CF318052_.wvu.PrintArea" localSheetId="0" hidden="1">общее!$A$4:$J$294</definedName>
    <definedName name="Z_3B5575E9_696E_4E1F_8BBE_8483CF318052_.wvu.PrintTitles" localSheetId="0" hidden="1">общее!$8:$8</definedName>
    <definedName name="Z_3F669C1C_24D3_4C3D_9A16_6C0219D100D3_.wvu.FilterData" localSheetId="0" hidden="1">общее!$A$6:$J$8</definedName>
    <definedName name="Z_40E0D498_E2F0_4E4C_AD04_0CCBD88738E3_.wvu.FilterData" localSheetId="0" hidden="1">общее!$A$8:$J$310</definedName>
    <definedName name="Z_40F66B3F_B1A0_4660_B7EC_2C8F1BD66B34_.wvu.FilterData" localSheetId="0" hidden="1">общее!$A$8:$J$441</definedName>
    <definedName name="Z_429899D9_5B00_46A4_8670_9042E5D6B3B9_.wvu.FilterData" localSheetId="0" hidden="1">общее!$A$8:$J$441</definedName>
    <definedName name="Z_429AA136_6142_4A99_977B_8067300179C4_.wvu.FilterData" localSheetId="0" hidden="1">общее!$A$8:$J$441</definedName>
    <definedName name="Z_43369FCC_2CCA_4665_99C7_275B440DE937_.wvu.FilterData" localSheetId="0" hidden="1">общее!$A$8:$J$365</definedName>
    <definedName name="Z_452C56A1_7A56_4ADE_A5CF_E260228787E3_.wvu.FilterData" localSheetId="0" hidden="1">общее!$A$6:$J$8</definedName>
    <definedName name="Z_452C56A1_7A56_4ADE_A5CF_E260228787E3_.wvu.PrintArea" localSheetId="0" hidden="1">общее!$A$4:$J$294</definedName>
    <definedName name="Z_452C56A1_7A56_4ADE_A5CF_E260228787E3_.wvu.PrintTitles" localSheetId="0" hidden="1">общее!$8:$8</definedName>
    <definedName name="Z_471079C8_6E8B_4088_8968_A7D0C5B8653D_.wvu.FilterData" localSheetId="0" hidden="1">общее!$A$8:$J$543</definedName>
    <definedName name="Z_47250A82_9F08_48A3_99F5_B1354F557BF5_.wvu.FilterData" localSheetId="0" hidden="1">общее!$A$8:$J$365</definedName>
    <definedName name="Z_48783A06_63D3_427A_A6E9_9592F9D916F6_.wvu.FilterData" localSheetId="0" hidden="1">общее!$A$8:$J$365</definedName>
    <definedName name="Z_4910244A_FD97_43F8_8121_7A39DEE7F6C3_.wvu.FilterData" localSheetId="0" hidden="1">общее!$A$8:$J$365</definedName>
    <definedName name="Z_495617EB_A9DC_44E1_A455_3D0079645590_.wvu.FilterData" localSheetId="0" hidden="1">общее!$A$8:$J$441</definedName>
    <definedName name="Z_4BC9F541_1AEB_4DA7_A0F9_3F6DB8D4E82B_.wvu.FilterData" localSheetId="0" hidden="1">общее!$A$8:$J$310</definedName>
    <definedName name="Z_4C9A721B_C5BE_4E52_A18E_0730E1D3B8FE_.wvu.FilterData" localSheetId="0" hidden="1">общее!$A$8:$J$441</definedName>
    <definedName name="Z_4CD9C922_19B5_419E_BD84_E209894B16C0_.wvu.FilterData" localSheetId="0" hidden="1">общее!$A$8:$J$441</definedName>
    <definedName name="Z_4EF5F217_FB2B_4DCF_85B0_3019877DD0D7_.wvu.FilterData" localSheetId="0" hidden="1">общее!$A$8:$J$310</definedName>
    <definedName name="Z_5034BBC8_21D9_4269_8413_6C2CC06530C6_.wvu.FilterData" localSheetId="0" hidden="1">общее!$A$8:$J$310</definedName>
    <definedName name="Z_505D733E_455F_46B4_ACCC_4F218E555D81_.wvu.FilterData" localSheetId="0" hidden="1">общее!$A$8:$J$543</definedName>
    <definedName name="Z_5152B790_6528_48A7_ACFA_991FA35A233D_.wvu.FilterData" localSheetId="0" hidden="1">общее!$A$8:$J$365</definedName>
    <definedName name="Z_527D5B17_7578_4A0E_8233_A8DD6DE458C2_.wvu.FilterData" localSheetId="0" hidden="1">общее!$A$8:$J$441</definedName>
    <definedName name="Z_53234816_0120_4392_94AB_599CEA5C30B9_.wvu.FilterData" localSheetId="0" hidden="1">общее!$A$8:$J$543</definedName>
    <definedName name="Z_5512C256_B576_4E26_8E01_289925B9D9C4_.wvu.FilterData" localSheetId="0" hidden="1">общее!$A$6:$J$8</definedName>
    <definedName name="Z_561DE2D1_B0AE_4896_AA61_5926B88ED735_.wvu.FilterData" localSheetId="0" hidden="1">общее!$A$8:$J$310</definedName>
    <definedName name="Z_56D07CA4_3A8F_4E57_990B_3A33D177FA23_.wvu.FilterData" localSheetId="0" hidden="1">общее!$A$8:$J$310</definedName>
    <definedName name="Z_57216EB5_F285_4D3D_8804_F4C1447258E5_.wvu.FilterData" localSheetId="0" hidden="1">общее!$A$8:$J$441</definedName>
    <definedName name="Z_5776AEEC_9913_4217_814D_400CFE679C3E_.wvu.FilterData" localSheetId="0" hidden="1">общее!$A$8:$J$310</definedName>
    <definedName name="Z_59F9E859_7DBE_4B96_A969_63ADA1E07BFE_.wvu.FilterData" localSheetId="0" hidden="1">общее!$A$8:$J$365</definedName>
    <definedName name="Z_5A17F74F_9F13_46B8_8433_8D22469D4185_.wvu.FilterData" localSheetId="0" hidden="1">общее!$A$8:$J$543</definedName>
    <definedName name="Z_5D9BE3B7_C618_47DB_8F0E_D1DDB1705E6B_.wvu.FilterData" localSheetId="0" hidden="1">общее!$A$6:$J$8</definedName>
    <definedName name="Z_5EEB5DC5_097B_47D6_81BA_F19E1000B57E_.wvu.FilterData" localSheetId="0" hidden="1">общее!$A$8:$J$441</definedName>
    <definedName name="Z_5EEB5DC5_097B_47D6_81BA_F19E1000B57E_.wvu.PrintArea" localSheetId="0" hidden="1">общее!$A$4:$J$294</definedName>
    <definedName name="Z_5EEB5DC5_097B_47D6_81BA_F19E1000B57E_.wvu.PrintTitles" localSheetId="0" hidden="1">общее!$8:$8</definedName>
    <definedName name="Z_5F564DC4_F80E_44B3_9C12_EE313E4E872A_.wvu.FilterData" localSheetId="0" hidden="1">общее!$A$8:$J$310</definedName>
    <definedName name="Z_60012CAC_965D_4CFC_93A4_5CCD711B12F0_.wvu.FilterData" localSheetId="0" hidden="1">общее!$A$6:$J$8</definedName>
    <definedName name="Z_6149D971_6896_4099_83EB_61159C951281_.wvu.FilterData" localSheetId="0" hidden="1">общее!$A$8:$J$441</definedName>
    <definedName name="Z_65CADE76_9E13_43BF_B11F_E308EC288263_.wvu.FilterData" localSheetId="0" hidden="1">общее!$A$8:$J$441</definedName>
    <definedName name="Z_66A24AA4_A74D_49B7_A44D_9BC6D293F264_.wvu.FilterData" localSheetId="0" hidden="1">общее!$A$8:$J$310</definedName>
    <definedName name="Z_675C859F_867B_4E3E_8283_3B2C94BFA5E5_.wvu.FilterData" localSheetId="0" hidden="1">общее!$A$8:$J$310</definedName>
    <definedName name="Z_67E15AF4_B3D4_4F28_BA3A_4297C918EDE6_.wvu.FilterData" localSheetId="0" hidden="1">общее!$A$8:$J$310</definedName>
    <definedName name="Z_6869228E_626C_4ADE_A07E_9278820D1763_.wvu.FilterData" localSheetId="0" hidden="1">общее!$A$8:$J$310</definedName>
    <definedName name="Z_68CBFC64_03A4_4F74_B34E_EE1DB915A668_.wvu.FilterData" localSheetId="0" hidden="1">общее!$A$8:$J$310</definedName>
    <definedName name="Z_6997FD04_8B9B_4179_939E_BCFCC889513E_.wvu.FilterData" localSheetId="0" hidden="1">общее!$A$8:$J$310</definedName>
    <definedName name="Z_6A002B8B_DF15_47FE_8548_D0F88EB4EB77_.wvu.FilterData" localSheetId="0" hidden="1">общее!$A$8:$J$365</definedName>
    <definedName name="Z_6AE5F3A0_C632_4594_A73E_9DFBAB3F48DD_.wvu.FilterData" localSheetId="0" hidden="1">общее!$A$8:$J$365</definedName>
    <definedName name="Z_6B5F638D_DFD2_421F_8643_7691B33D7A3B_.wvu.FilterData" localSheetId="0" hidden="1">общее!$A$8:$J$310</definedName>
    <definedName name="Z_6DB878EC_F0AA_4EE0_8DBD_0D2F2413D073_.wvu.FilterData" localSheetId="0" hidden="1">общее!$A$8:$J$441</definedName>
    <definedName name="Z_6FCC1E26_8977_4950_8B87_CBE7C2A25ED8_.wvu.FilterData" localSheetId="0" hidden="1">общее!$A$8:$J$310</definedName>
    <definedName name="Z_7012C998_533E_4EDC_995F_53A252D8A143_.wvu.FilterData" localSheetId="0" hidden="1">общее!$A$8:$J$365</definedName>
    <definedName name="Z_713A662A_DFDD_43FB_A56E_1E210432D89D_.wvu.FilterData" localSheetId="0" hidden="1">общее!$A$8:$J$365</definedName>
    <definedName name="Z_716F213C_8FDB_4E7E_934B_B03987478AAA_.wvu.FilterData" localSheetId="0" hidden="1">общее!$A$8:$J$365</definedName>
    <definedName name="Z_72615B4A_0666_48DC_B3A0_332799C5347B_.wvu.FilterData" localSheetId="0" hidden="1">общее!$A$6:$J$8</definedName>
    <definedName name="Z_72EDDA2C_BFF2_4D48_A13B_2B9C46213374_.wvu.FilterData" localSheetId="0" hidden="1">общее!$A$8:$J$441</definedName>
    <definedName name="Z_743F23AC_8B5C_40B6_9ADD_B2B54B0B36A7_.wvu.FilterData" localSheetId="0" hidden="1">общее!$A$8:$J$441</definedName>
    <definedName name="Z_746B9BA0_2CAB_416E_B194_EC52DB1EC742_.wvu.FilterData" localSheetId="0" hidden="1">общее!$A$8:$J$441</definedName>
    <definedName name="Z_768BA9CF_2122_41A7_8903_ECE3A54B69F8_.wvu.FilterData" localSheetId="0" hidden="1">общее!$A$8:$J$543</definedName>
    <definedName name="Z_77F98A1B_622E_4E1C_99A9_236FFCAA0B34_.wvu.FilterData" localSheetId="0" hidden="1">общее!$A$8:$J$310</definedName>
    <definedName name="Z_78D70EA8_5249_4DAA_AE4A_2D8FFFD697D9_.wvu.FilterData" localSheetId="0" hidden="1">общее!$A$8:$J$441</definedName>
    <definedName name="Z_795D5ECF_BF90_4F3E_A74E_B1A55C8421F2_.wvu.FilterData" localSheetId="0" hidden="1">общее!$A$8:$J$441</definedName>
    <definedName name="Z_7A2B4F7E_E736_4CE4_ACAF_AB2E1CDC2BED_.wvu.FilterData" localSheetId="0" hidden="1">общее!$A$8:$J$365</definedName>
    <definedName name="Z_7A936B14_3168_4319_80EC_9AB0E1E51913_.wvu.FilterData" localSheetId="0" hidden="1">общее!$A$8:$J$441</definedName>
    <definedName name="Z_7C69758B_CDC9_4874_B714_8DA98D7197DD_.wvu.FilterData" localSheetId="0" hidden="1">общее!$A$8:$J$441</definedName>
    <definedName name="Z_7C74E095_428E_48E8_A71D_0600250A46E8_.wvu.FilterData" localSheetId="0" hidden="1">общее!$A$8:$J$365</definedName>
    <definedName name="Z_7E5CD23C_5346_4E9D_BFA0_035B6BA3097B_.wvu.FilterData" localSheetId="0" hidden="1">общее!$A$8:$J$310</definedName>
    <definedName name="Z_7E83462C_2646_43F5_BA25_2D4B100EBEB1_.wvu.FilterData" localSheetId="0" hidden="1">общее!$A$8:$J$365</definedName>
    <definedName name="Z_7EDDA008_F905_436E_A980_951BDACDA577_.wvu.FilterData" localSheetId="0" hidden="1">общее!$A$6:$J$8</definedName>
    <definedName name="Z_7F2FA179_7E75_4D04_9C08_383F9EAE36E4_.wvu.FilterData" localSheetId="0" hidden="1">общее!$A$8:$J$441</definedName>
    <definedName name="Z_7F311C52_3815_4334_BC86_EFE1D9CF838D_.wvu.FilterData" localSheetId="0" hidden="1">общее!$A$8:$J$308</definedName>
    <definedName name="Z_81AB0083_9AC8_46E5_8989_3683179BE2CD_.wvu.FilterData" localSheetId="0" hidden="1">общее!$A$8:$J$365</definedName>
    <definedName name="Z_82778C3B_E039_40FB_9D6E_6C955809D3AF_.wvu.FilterData" localSheetId="0" hidden="1">общее!$A$8:$J$441</definedName>
    <definedName name="Z_82F7123C_C030_4534_8B46_822C4EBC62EC_.wvu.FilterData" localSheetId="0" hidden="1">общее!$A$8:$J$543</definedName>
    <definedName name="Z_82F7E495_211B_4D53_B382_DE1C7FAF3376_.wvu.FilterData" localSheetId="0" hidden="1">общее!$A$8:$J$543</definedName>
    <definedName name="Z_84291F06_C171_4BC3_846A_5B29D7A14C1B_.wvu.FilterData" localSheetId="0" hidden="1">общее!$A$8:$J$310</definedName>
    <definedName name="Z_84AB9039_6109_4932_AA14_522BD4A30F0B_.wvu.FilterData" localSheetId="0" hidden="1">общее!$A$8:$J$310</definedName>
    <definedName name="Z_85BFB728_94F1_4323_ACC8_9456F845AE11_.wvu.FilterData" localSheetId="0" hidden="1">общее!$A$8:$J$441</definedName>
    <definedName name="Z_85CA5D27_9304_4004_A8E8_6687AFFCC00A_.wvu.FilterData" localSheetId="0" hidden="1">общее!$A$8:$J$365</definedName>
    <definedName name="Z_868786DC_4C96_45F5_A272_3E03D4B934A0_.wvu.FilterData" localSheetId="0" hidden="1">общее!$A$8:$J$543</definedName>
    <definedName name="Z_8712F0EA_8AFD_45F0_99A0_31E181367C18_.wvu.FilterData" localSheetId="0" hidden="1">общее!$A$6:$J$8</definedName>
    <definedName name="Z_87307EED_7277_4B82_83B9_FD6EFB33210A_.wvu.FilterData" localSheetId="0" hidden="1">общее!$A$8:$J$441</definedName>
    <definedName name="Z_87B11953_FBBE_4422_B331_7A1407FEF2C2_.wvu.FilterData" localSheetId="0" hidden="1">общее!$A$8:$J$310</definedName>
    <definedName name="Z_8AD8908B_5409_470D_AEE7_01A535707576_.wvu.FilterData" localSheetId="0" hidden="1">общее!$A$8:$J$365</definedName>
    <definedName name="Z_8AF3FC9C_0EA5_4F5D_9117_5F59A40F6C1D_.wvu.FilterData" localSheetId="0" hidden="1">общее!$A$8:$J$310</definedName>
    <definedName name="Z_8BA1F70D_2590_40B0_8F4D_CC37D4F962D2_.wvu.FilterData" localSheetId="0" hidden="1">общее!$A$8:$J$441</definedName>
    <definedName name="Z_8DA01475_C6A0_4A19_B7EB_B1C704431492_.wvu.FilterData" localSheetId="0" hidden="1">общее!$A$8:$J$365</definedName>
    <definedName name="Z_8E60DEEE_B29D_4EEA_B25A_DB1975B13507_.wvu.FilterData" localSheetId="0" hidden="1">общее!$A$8:$J$543</definedName>
    <definedName name="Z_8F5BBF1A_FC79_4BB3_97F0_50B619130E26_.wvu.FilterData" localSheetId="0" hidden="1">общее!$A$8:$J$365</definedName>
    <definedName name="Z_8FB1E024_9866_4CAD_B900_0CCFEA27B234_.wvu.FilterData" localSheetId="0" hidden="1">общее!$A$8:$J$365</definedName>
    <definedName name="Z_8FB1E024_9866_4CAD_B900_0CCFEA27B234_.wvu.PrintArea" localSheetId="0" hidden="1">общее!$A$4:$J$294</definedName>
    <definedName name="Z_8FB1E024_9866_4CAD_B900_0CCFEA27B234_.wvu.PrintTitles" localSheetId="0" hidden="1">общее!$8:$8</definedName>
    <definedName name="Z_90104242_D578_485A_91E2_ACB42B11755F_.wvu.FilterData" localSheetId="0" hidden="1">общее!$A$8:$J$441</definedName>
    <definedName name="Z_90518B97_7307_4173_A97E_975285B914B1_.wvu.FilterData" localSheetId="0" hidden="1">общее!$A$8:$J$365</definedName>
    <definedName name="Z_925CFE27_E1C6_48F7_AA2E_4E47C240CFE1_.wvu.FilterData" localSheetId="0" hidden="1">общее!$A$8:$J$365</definedName>
    <definedName name="Z_93443DB4_16CC_4115_8132_074F13427393_.wvu.FilterData" localSheetId="0" hidden="1">общее!$A$8:$J$308</definedName>
    <definedName name="Z_93A13551_3E8E_4065_89A7_310AA9E7AE54_.wvu.FilterData" localSheetId="0" hidden="1">общее!$A$8:$J$441</definedName>
    <definedName name="Z_94F9C593_9DE2_4EC4_AFA3_39D38CF2BB33_.wvu.FilterData" localSheetId="0" hidden="1">общее!$A$8:$J$308</definedName>
    <definedName name="Z_95A7493F_2B11_406A_BB91_458FD9DC3BAE_.wvu.FilterData" localSheetId="0" hidden="1">общее!$A$8:$J$310</definedName>
    <definedName name="Z_95A7493F_2B11_406A_BB91_458FD9DC3BAE_.wvu.PrintArea" localSheetId="0" hidden="1">общее!$A$4:$J$294</definedName>
    <definedName name="Z_95A7493F_2B11_406A_BB91_458FD9DC3BAE_.wvu.PrintTitles" localSheetId="0" hidden="1">общее!$8:$8</definedName>
    <definedName name="Z_966D3932_E429_4C59_AC55_697D9EEA620A_.wvu.FilterData" localSheetId="0" hidden="1">общее!$A$8:$CL$372</definedName>
    <definedName name="Z_966D3932_E429_4C59_AC55_697D9EEA620A_.wvu.PrintArea" localSheetId="0" hidden="1">общее!$A$3:$J$309</definedName>
    <definedName name="Z_966D3932_E429_4C59_AC55_697D9EEA620A_.wvu.PrintTitles" localSheetId="0" hidden="1">общее!$8:$8</definedName>
    <definedName name="Z_967F1A8A_48DD_4277_A863_3849576B72D0_.wvu.FilterData" localSheetId="0" hidden="1">общее!$A$8:$J$365</definedName>
    <definedName name="Z_982FB0F3_EEED_4A35_8AE0_8012B631E660_.wvu.FilterData" localSheetId="0" hidden="1">общее!$A$8:$J$310</definedName>
    <definedName name="Z_998E5F34_5F22_456C_AF6B_44B849DA5E75_.wvu.FilterData" localSheetId="0" hidden="1">общее!$A$8:$J$308</definedName>
    <definedName name="Z_9BFA17BE_4413_48EA_8DFA_9D7972E1D966_.wvu.FilterData" localSheetId="0" hidden="1">общее!$A$8:$J$365</definedName>
    <definedName name="Z_9D5BFF78_E3BA_4BCB_AD42_B369D1A6F27F_.wvu.FilterData" localSheetId="0" hidden="1">общее!$A$8:$J$310</definedName>
    <definedName name="Z_9DB42EA6_6F33_4055_AFFC_2CB330A83BF6_.wvu.FilterData" localSheetId="0" hidden="1">общее!$A$8:$J$308</definedName>
    <definedName name="Z_9E613866_5B9C_47D7_AFA4_58928D3C6E62_.wvu.FilterData" localSheetId="0" hidden="1">общее!$A$8:$J$365</definedName>
    <definedName name="Z_9EB09BA5_1A06_464B_9D4E_3EF1374F6659_.wvu.FilterData" localSheetId="0" hidden="1">общее!$A$8:$J$308</definedName>
    <definedName name="Z_9F241BF9_3E2B_4BDD_B26A_F89F327E72C3_.wvu.FilterData" localSheetId="0" hidden="1">общее!$A$8:$J$310</definedName>
    <definedName name="Z_9FE2B88C_FF56_4DEE_8B84_1ADFBBB1D084_.wvu.FilterData" localSheetId="0" hidden="1">общее!$A$8:$J$543</definedName>
    <definedName name="Z_A274E916_0616_4798_8975_3911D43C14F5_.wvu.FilterData" localSheetId="0" hidden="1">общее!$A$8:$J$441</definedName>
    <definedName name="Z_A2AC5481_37D4_4229_BD4F_7BED984BFF61_.wvu.FilterData" localSheetId="0" hidden="1">общее!$A$8:$J$310</definedName>
    <definedName name="Z_A330E7CE_1B63_4807_AC38_5251AE03B568_.wvu.FilterData" localSheetId="0" hidden="1">общее!$A$8:$J$543</definedName>
    <definedName name="Z_A5BD67D1_5F1C_472E_9385_9177CF38402F_.wvu.FilterData" localSheetId="0" hidden="1">общее!$A$8:$J$365</definedName>
    <definedName name="Z_A600D8D5_C13F_49F2_9D2C_FC8EA32AC551_.wvu.FilterData" localSheetId="0" hidden="1">общее!$A$8:$J$543</definedName>
    <definedName name="Z_A600D8D5_C13F_49F2_9D2C_FC8EA32AC551_.wvu.PrintTitles" localSheetId="0" hidden="1">общее!$8:$8</definedName>
    <definedName name="Z_A75085A3_4AC1_49B5_8DC1_19942A878723_.wvu.FilterData" localSheetId="0" hidden="1">общее!$A$8:$J$441</definedName>
    <definedName name="Z_A7A42B55_9F6C_4A34_BF88_539458839798_.wvu.FilterData" localSheetId="0" hidden="1">общее!$A$8:$J$310</definedName>
    <definedName name="Z_A9CB6613_36BA_46BF_9FA8_AEAB37393612_.wvu.FilterData" localSheetId="0" hidden="1">общее!$A$8:$J$365</definedName>
    <definedName name="Z_AA3BE0DE_1363_4DDA_934E_FD9CAE988533_.wvu.FilterData" localSheetId="0" hidden="1">общее!$A$8:$J$441</definedName>
    <definedName name="Z_AA5DB17E_D4B9_49C8_96A5_D22053C6C5B1_.wvu.FilterData" localSheetId="0" hidden="1">общее!$A$8:$J$365</definedName>
    <definedName name="Z_ACBA7AB7_E5BF_4817_ACF6_DA5FB388AD46_.wvu.FilterData" localSheetId="0" hidden="1">общее!$A$8:$J$441</definedName>
    <definedName name="Z_AEA5B2EA_8CD5_4D16_87DA_0C74224B0E36_.wvu.FilterData" localSheetId="0" hidden="1">общее!$A$8:$J$310</definedName>
    <definedName name="Z_AEABEE2C_6038_47D9_81A7_15110E43218C_.wvu.FilterData" localSheetId="0" hidden="1">общее!$A$8:$J$441</definedName>
    <definedName name="Z_AF878C17_3B2C_48A3_9BE9_929E49BFE12F_.wvu.FilterData" localSheetId="0" hidden="1">общее!$A$8:$J$310</definedName>
    <definedName name="Z_B09841F2_D07A_4B31_A395_000C1A63FF41_.wvu.FilterData" localSheetId="0" hidden="1">общее!$A$8:$J$310</definedName>
    <definedName name="Z_B09841F2_D07A_4B31_A395_000C1A63FF41_.wvu.PrintArea" localSheetId="0" hidden="1">общее!$A$4:$J$294</definedName>
    <definedName name="Z_B09841F2_D07A_4B31_A395_000C1A63FF41_.wvu.PrintTitles" localSheetId="0" hidden="1">общее!$8:$8</definedName>
    <definedName name="Z_B0CF427B_E64B_46A6_97A4_9B49090FE4BE_.wvu.FilterData" localSheetId="0" hidden="1">общее!$A$8:$J$441</definedName>
    <definedName name="Z_B0D300EE_CE3D_4267_8F4B_3D65D54915E1_.wvu.FilterData" localSheetId="0" hidden="1">общее!$A$8:$J$310</definedName>
    <definedName name="Z_B2319D0F_B5B7_4B85_B31D_3FEB7916998F_.wvu.FilterData" localSheetId="0" hidden="1">общее!$A$8:$J$543</definedName>
    <definedName name="Z_B31E6874_4FC0_47ED_8042_8593070B2CD6_.wvu.FilterData" localSheetId="0" hidden="1">общее!$A$8:$J$310</definedName>
    <definedName name="Z_B4997D58_BD25_4440_9383_3C887D277BCF_.wvu.FilterData" localSheetId="0" hidden="1">общее!$A$8:$J$441</definedName>
    <definedName name="Z_B55746B5_6CDF_443B_8C7F_8F8A1DC5562E_.wvu.FilterData" localSheetId="0" hidden="1">общее!$A$8:$J$543</definedName>
    <definedName name="Z_B607774B_B68E_4DBE_B4D4_274DD101B3B3_.wvu.FilterData" localSheetId="0" hidden="1">общее!$A$6:$J$8</definedName>
    <definedName name="Z_B637BC8F_E49F_4D36_BA7E_87587BAEF462_.wvu.FilterData" localSheetId="0" hidden="1">общее!$A$8:$J$441</definedName>
    <definedName name="Z_B8AC68F9_618C_4990_B101_9BD7FB1FCD22_.wvu.FilterData" localSheetId="0" hidden="1">общее!$A$6:$J$8</definedName>
    <definedName name="Z_B9D2896B_3D46_4E80_A333_D35EE8923B5F_.wvu.FilterData" localSheetId="0" hidden="1">общее!$A$8:$J$365</definedName>
    <definedName name="Z_BA1D743D_8CD7_4C01_B0E4_1729D2189C73_.wvu.FilterData" localSheetId="0" hidden="1">общее!$A$8:$J$365</definedName>
    <definedName name="Z_BB4DF29A_3635_4350_9E09_BBEF363FC239_.wvu.FilterData" localSheetId="0" hidden="1">общее!$A$6:$J$8</definedName>
    <definedName name="Z_BC4BF63E_98F8_4CE0_B0DE_A2A71C291EFE_.wvu.FilterData" localSheetId="0" hidden="1">общее!$A$8:$J$365</definedName>
    <definedName name="Z_BC735923_D0EA_47FD_9B99_A44B26AB32B8_.wvu.FilterData" localSheetId="0" hidden="1">общее!$A$8:$J$310</definedName>
    <definedName name="Z_BE1C4A44_01B5_4ECE_8D55_C71095D37032_.wvu.FilterData" localSheetId="0" hidden="1">общее!$A$8:$J$365</definedName>
    <definedName name="Z_BED4F540_47A7_459B_8414_21EF84302EA3_.wvu.FilterData" localSheetId="0" hidden="1">общее!$A$8:$J$441</definedName>
    <definedName name="Z_BF36043A_AFA1_4ED6_B54F_F4173C55E31C_.wvu.FilterData" localSheetId="0" hidden="1">общее!$A$8:$J$441</definedName>
    <definedName name="Z_BF57B08F_2B48_4EE9_9ADD_06D6906608C1_.wvu.FilterData" localSheetId="0" hidden="1">общее!$A$8:$J$543</definedName>
    <definedName name="Z_BFC3CBD4_C5BA_4A56_906C_565ED71D320D_.wvu.FilterData" localSheetId="0" hidden="1">общее!$A$8:$J$310</definedName>
    <definedName name="Z_C105019C_D493_4AF2_B08B_98003C4FEF9B_.wvu.FilterData" localSheetId="0" hidden="1">общее!$A$8:$J$441</definedName>
    <definedName name="Z_C172C42A_B6A9_490D_905B_14F6BA2DCBCA_.wvu.FilterData" localSheetId="0" hidden="1">общее!$A$8:$J$365</definedName>
    <definedName name="Z_C32A6808_4BDA_43E4_ACD1_1B0FCC0DA219_.wvu.FilterData" localSheetId="0" hidden="1">общее!$A$8:$J$441</definedName>
    <definedName name="Z_C343756C_7EBC_41EB_89B6_11C31F46AD7D_.wvu.FilterData" localSheetId="0" hidden="1">общее!$A$8:$J$441</definedName>
    <definedName name="Z_C4185438_74E2_4EE2_8A94_BE1F1EE5C2A4_.wvu.FilterData" localSheetId="0" hidden="1">общее!$A$8:$J$310</definedName>
    <definedName name="Z_C4269454_1D3D_4937_A7DB_6BFDB690E1BF_.wvu.FilterData" localSheetId="0" hidden="1">общее!$A$8:$J$441</definedName>
    <definedName name="Z_C4A91C4C_4FDF_4528_B780_BABD8261F89B_.wvu.FilterData" localSheetId="0" hidden="1">общее!$A$8:$J$308</definedName>
    <definedName name="Z_C5AC499E_0359_4E1F_94CE_578AF2A54734_.wvu.FilterData" localSheetId="0" hidden="1">общее!$A$8:$J$543</definedName>
    <definedName name="Z_C5DD2CEF_6DC9_42B9_B991_658B57CBD712_.wvu.FilterData" localSheetId="0" hidden="1">общее!$A$8:$J$543</definedName>
    <definedName name="Z_C7FD81BD_691B_4A89_96A0_CDABC50081E4_.wvu.FilterData" localSheetId="0" hidden="1">общее!$A$8:$J$441</definedName>
    <definedName name="Z_C8489D43_32B9_4349_973B_9C94F0536721_.wvu.FilterData" localSheetId="0" hidden="1">общее!$A$8:$J$543</definedName>
    <definedName name="Z_C920DB58_DB5D_4286_8169_C2AA2ED89A9A_.wvu.FilterData" localSheetId="0" hidden="1">общее!$A$8:$J$365</definedName>
    <definedName name="Z_CA8983D9_E565_4991_B76C_F6D76E63663C_.wvu.FilterData" localSheetId="0" hidden="1">общее!$A$8:$J$310</definedName>
    <definedName name="Z_CC0A6F72_A956_4FF0_A9CF_B2F133844683_.wvu.FilterData" localSheetId="0" hidden="1">общее!$A$8:$J$441</definedName>
    <definedName name="Z_CF069AD8_C6E4_40EE_85C1_CD44D38BC77F_.wvu.FilterData" localSheetId="0" hidden="1">общее!$A$8:$J$308</definedName>
    <definedName name="Z_CF1EFC15_1276_44E9_B8E0_6069FE1FC094_.wvu.FilterData" localSheetId="0" hidden="1">общее!$A$8:$J$441</definedName>
    <definedName name="Z_CFB0A04F_563D_4D2B_BCD3_ACFCDC70E584_.wvu.FilterData" localSheetId="0" hidden="1">общее!$A$8:$J$365</definedName>
    <definedName name="Z_CFB0A04F_563D_4D2B_BCD3_ACFCDC70E584_.wvu.Rows" localSheetId="0" hidden="1">общее!$9:$117,общее!$119:$127</definedName>
    <definedName name="Z_CFD58EC5_F475_4F0C_8822_861C497EA100_.wvu.FilterData" localSheetId="0" hidden="1">общее!$A$8:$CL$372</definedName>
    <definedName name="Z_CFD58EC5_F475_4F0C_8822_861C497EA100_.wvu.PrintArea" localSheetId="0" hidden="1">общее!$A$3:$J$309</definedName>
    <definedName name="Z_CFD58EC5_F475_4F0C_8822_861C497EA100_.wvu.PrintTitles" localSheetId="0" hidden="1">общее!$8:$8</definedName>
    <definedName name="Z_D0621073_25BE_47D7_AC33_51146458D41C_.wvu.FilterData" localSheetId="0" hidden="1">общее!$A$8:$J$310</definedName>
    <definedName name="Z_D10FBD64_4601_40D8_BA69_F0EA6D3ED846_.wvu.FilterData" localSheetId="0" hidden="1">общее!$A$8:$J$365</definedName>
    <definedName name="Z_D14B1F1D_6F0E_49B1_92FB_6E5D79228E22_.wvu.FilterData" localSheetId="0" hidden="1">общее!$A$8:$J$441</definedName>
    <definedName name="Z_D196F711_2A18_4840_9CDF_97770F3C341D_.wvu.FilterData" localSheetId="0" hidden="1">общее!$A$8:$J$310</definedName>
    <definedName name="Z_D3BF9972_335A_4BF6_985A_3FAFB12859F0_.wvu.FilterData" localSheetId="0" hidden="1">общее!$A$8:$J$365</definedName>
    <definedName name="Z_D3FC038B_D1F5_4CDD_BF89_B0BF2773CD42_.wvu.FilterData" localSheetId="0" hidden="1">общее!$A$6:$J$8</definedName>
    <definedName name="Z_D4E8D1A3_1CF7_4E9F_8E3E_76E99A013BCC_.wvu.FilterData" localSheetId="0" hidden="1">общее!$A$8:$J$441</definedName>
    <definedName name="Z_D5681C61_0984_4C5B_9D67_8EE316AD015C_.wvu.FilterData" localSheetId="0" hidden="1">общее!$A$8:$J$441</definedName>
    <definedName name="Z_D64EF95C_79C4_46AC_AC41_4006BE2579BA_.wvu.FilterData" localSheetId="0" hidden="1">общее!$A$8:$J$441</definedName>
    <definedName name="Z_D6C9B499_8D30_4283_AE2A_B58ABDEBA548_.wvu.FilterData" localSheetId="0" hidden="1">общее!$A$8:$J$543</definedName>
    <definedName name="Z_D99C893A_0D9F_4F69_B1E5_4BCEB72F4291_.wvu.FilterData" localSheetId="0" hidden="1">общее!$A$6:$J$8</definedName>
    <definedName name="Z_DB146771_765B_4EDB_AC76_D56707AD72CF_.wvu.FilterData" localSheetId="0" hidden="1">общее!$A$8:$J$441</definedName>
    <definedName name="Z_DBF8F6A4_7388_4C5F_8609_AD47282385A6_.wvu.FilterData" localSheetId="0" hidden="1">общее!$A$8:$J$543</definedName>
    <definedName name="Z_DE0623D9_75DF_4C41_AF3E_5381C2A8629F_.wvu.FilterData" localSheetId="0" hidden="1">общее!$A$8:$J$441</definedName>
    <definedName name="Z_DE2034B5_D274_41CF_AE24_6339ACF79613_.wvu.FilterData" localSheetId="0" hidden="1">общее!$A$8:$J$310</definedName>
    <definedName name="Z_DEE728ED_1133_4DAB_BC02_158A35CECBC6_.wvu.FilterData" localSheetId="0" hidden="1">общее!$A$8:$J$310</definedName>
    <definedName name="Z_DFF3F719_2855_42BC_ACEB_8441420613B1_.wvu.FilterData" localSheetId="0" hidden="1">общее!$A$8:$J$365</definedName>
    <definedName name="Z_E147D13D_D04D_431E_888C_5A9AE670FC44_.wvu.FilterData" localSheetId="0" hidden="1">общее!$A$6:$J$8</definedName>
    <definedName name="Z_E147D13D_D04D_431E_888C_5A9AE670FC44_.wvu.PrintTitles" localSheetId="0" hidden="1">общее!$8:$8</definedName>
    <definedName name="Z_E1663454_FD8A_4EB7_8B04_ADE04D736B77_.wvu.FilterData" localSheetId="0" hidden="1">общее!$A$8:$J$441</definedName>
    <definedName name="Z_E3334516_B3FD_45B9_AB64_DFED61082F84_.wvu.FilterData" localSheetId="0" hidden="1">общее!$A$8:$J$441</definedName>
    <definedName name="Z_E3983C1A_AB41_491B_B4D8_ECB97796B009_.wvu.FilterData" localSheetId="0" hidden="1">общее!$A$8:$J$441</definedName>
    <definedName name="Z_E418290D_2076_47BD_8438_6673CF24E35A_.wvu.FilterData" localSheetId="0" hidden="1">общее!$A$8:$J$441</definedName>
    <definedName name="Z_EA8E6D18_68D7_4389_88CB_3C3027AB668A_.wvu.FilterData" localSheetId="0" hidden="1">общее!$A$8:$J$543</definedName>
    <definedName name="Z_ED5AC437_1F65_441E_BBEA_F88D9FEA1BA8_.wvu.FilterData" localSheetId="0" hidden="1">общее!$A$8:$J$365</definedName>
    <definedName name="Z_EE3611DB_BB9A_42C8_98CA_2B323AB8FB7B_.wvu.FilterData" localSheetId="0" hidden="1">общее!$A$8:$J$441</definedName>
    <definedName name="Z_EF32CA8F_131B_41F0_AA31_167807ADE2D4_.wvu.FilterData" localSheetId="0" hidden="1">общее!$A$8:$J$310</definedName>
    <definedName name="Z_EFD63851_2976_4987_8539_F3FE3A991088_.wvu.FilterData" localSheetId="0" hidden="1">общее!$A$8:$J$441</definedName>
    <definedName name="Z_F06ACB63_A424_47E0_8092_CCE891CCD225_.wvu.FilterData" localSheetId="0" hidden="1">общее!$A$6:$J$8</definedName>
    <definedName name="Z_F09B8F21_CFBA_4144_8BE7_F13B0A684312_.wvu.FilterData" localSheetId="0" hidden="1">общее!$A$8:$J$310</definedName>
    <definedName name="Z_F14D494F_E5E8_4E8F_99A5_E5D0EE7C4CD1_.wvu.FilterData" localSheetId="0" hidden="1">общее!$A$8:$J$365</definedName>
    <definedName name="Z_F35C19AC_1AD8_4B98_9E5C_812DA7490AFD_.wvu.FilterData" localSheetId="0" hidden="1">общее!$A$8:$J$365</definedName>
    <definedName name="Z_F5149A81_C534_4D57_8E28_ACCC96AC9AC3_.wvu.FilterData" localSheetId="0" hidden="1">общее!$A$8:$J$441</definedName>
    <definedName name="Z_F5211A6A_EE37_46DC_9C2C_FBE0CAB7604C_.wvu.FilterData" localSheetId="0" hidden="1">общее!$A$6:$J$8</definedName>
    <definedName name="Z_F63B9AFD_D8B0_4F8C_A0C2_8214DCA948D7_.wvu.FilterData" localSheetId="0" hidden="1">общее!$A$8:$J$310</definedName>
    <definedName name="Z_F6991520_2C3B_4C21_9197_8515F05E79C7_.wvu.FilterData" localSheetId="0" hidden="1">общее!$A$8:$J$441</definedName>
    <definedName name="Z_F73173ED_9D02_4835_8031_F71A7D33ECA6_.wvu.FilterData" localSheetId="0" hidden="1">общее!$A$8:$J$543</definedName>
    <definedName name="Z_F9324F9E_6E0D_484A_B1A6_F87CCAA93894_.wvu.FilterData" localSheetId="0" hidden="1">общее!$A$8:$J$365</definedName>
    <definedName name="Z_F9544812_EB32_433B_BB14_D909670E9E5D_.wvu.FilterData" localSheetId="0" hidden="1">общее!$A$8:$J$365</definedName>
    <definedName name="Z_F9CD2061_D224_494A_B06D_1C81E6930B04_.wvu.FilterData" localSheetId="0" hidden="1">общее!$A$8:$J$308</definedName>
    <definedName name="Z_F9D2B861_A6DF_4E58_9205_20667B07345D_.wvu.FilterData" localSheetId="0" hidden="1">общее!$A$8:$J$441</definedName>
    <definedName name="Z_FA039D92_C83F_438E_BA9D_917452CA1B7F_.wvu.FilterData" localSheetId="0" hidden="1">общее!$A$8:$J$365</definedName>
    <definedName name="Z_FDA91638_7DD6_48C3_8AC3_AA44420F30D7_.wvu.FilterData" localSheetId="0" hidden="1">общее!$A$8:$J$310</definedName>
    <definedName name="Z_FF1C8053_6325_4562_BDE7_81A6D9BCDD2B_.wvu.FilterData" localSheetId="0" hidden="1">общее!$A$8:$J$308</definedName>
    <definedName name="Z_FF9353E4_7543_4700_982C_B41C9ACB3ADF_.wvu.FilterData" localSheetId="0" hidden="1">общее!$A$8:$J$310</definedName>
    <definedName name="Z_FFB47FFE_A5E4_419A_BD39_DDC70DF4F5D4_.wvu.FilterData" localSheetId="0" hidden="1">общее!$A$8:$J$365</definedName>
    <definedName name="_xlnm.Print_Titles" localSheetId="0">общее!$8:$8</definedName>
    <definedName name="_xlnm.Print_Area" localSheetId="0">общее!$A$1:$J$309</definedName>
  </definedNames>
  <calcPr calcId="124519"/>
  <customWorkbookViews>
    <customWorkbookView name="user416c - Личное представление" guid="{966D3932-E429-4C59-AC55-697D9EEA620A}" mergeInterval="0" personalView="1" maximized="1" xWindow="1" yWindow="1" windowWidth="1920" windowHeight="802" activeSheetId="1"/>
    <customWorkbookView name="User457d - Личное представление" guid="{0CBA335B-0DD8-471B-913E-91954D8A7DE8}" mergeInterval="0" personalView="1" maximized="1" xWindow="1" yWindow="1" windowWidth="1916" windowHeight="850" activeSheetId="1"/>
    <customWorkbookView name="User459c - Личное представление" guid="{84AB9039-6109-4932-AA14-522BD4A30F0B}" mergeInterval="0" personalView="1" maximized="1" xWindow="1" yWindow="1" windowWidth="1920" windowHeight="801" activeSheetId="1"/>
    <customWorkbookView name="User563c - Личное представление" guid="{675C859F-867B-4E3E-8283-3B2C94BFA5E5}" mergeInterval="0" personalView="1" maximized="1" xWindow="1" yWindow="1" windowWidth="1920" windowHeight="802" activeSheetId="1"/>
    <customWorkbookView name="user465a - Личное представление" guid="{EF32CA8F-131B-41F0-AA31-167807ADE2D4}" mergeInterval="0" personalView="1" maximized="1" xWindow="1" yWindow="1" windowWidth="1867" windowHeight="831" activeSheetId="1"/>
    <customWorkbookView name="user457c - Личное представление" guid="{221AFC77-C97B-4D44-8163-7AA758A08BF9}" mergeInterval="0" personalView="1" maximized="1" xWindow="1" yWindow="1" windowWidth="1470" windowHeight="557" activeSheetId="1"/>
    <customWorkbookView name="user459a - Личное представление" guid="{8DA01475-C6A0-4A19-B7EB-B1C704431492}" mergeInterval="0" personalView="1" maximized="1" xWindow="1" yWindow="1" windowWidth="1904" windowHeight="838" activeSheetId="1"/>
    <customWorkbookView name="user459b - Личное представление" guid="{FA039D92-C83F-438E-BA9D-917452CA1B7F}" mergeInterval="0" personalView="1" maximized="1" xWindow="1" yWindow="1" windowWidth="1920" windowHeight="850" activeSheetId="1"/>
    <customWorkbookView name="Яна - Личное представление" guid="{9BFA17BE-4413-48EA-8DFA-9D7972E1D966}" mergeInterval="0" personalView="1" maximized="1" xWindow="1" yWindow="1" windowWidth="1920" windowHeight="850" activeSheetId="1"/>
    <customWorkbookView name="User569c - Личное представление" guid="{BC4BF63E-98F8-4CE0-B0DE-A2A71C291EFE}" mergeInterval="0" personalView="1" maximized="1" xWindow="1" yWindow="1" windowWidth="1920" windowHeight="850" activeSheetId="1"/>
    <customWorkbookView name="user563a - Личное представление" guid="{CFB0A04F-563D-4D2B-BCD3-ACFCDC70E584}" mergeInterval="0" personalView="1" maximized="1" xWindow="1" yWindow="1" windowWidth="1846" windowHeight="838" activeSheetId="1"/>
    <customWorkbookView name="Танечка - Личное представление" guid="{BE1C4A44-01B5-4ECE-8D55-C71095D37032}" mergeInterval="0" personalView="1" maximized="1" xWindow="1" yWindow="1" windowWidth="1920" windowHeight="850" activeSheetId="1"/>
    <customWorkbookView name="User569a - Личное представление" guid="{8FB1E024-9866-4CAD-B900-0CCFEA27B234}" mergeInterval="0" personalView="1" maximized="1" xWindow="1" yWindow="1" windowWidth="1920" windowHeight="850" activeSheetId="1"/>
    <customWorkbookView name="user - Личное представление" guid="{868786DC-4C96-45F5-A272-3E03D4B934A0}" mergeInterval="0" personalView="1" maximized="1" xWindow="-8" yWindow="-8" windowWidth="1936" windowHeight="1056" activeSheetId="1"/>
    <customWorkbookView name="Use565c - Личное представление" guid="{A600D8D5-C13F-49F2-9D2C-FC8EA32AC551}" mergeInterval="0" personalView="1" maximized="1" xWindow="1" yWindow="1" windowWidth="1920" windowHeight="802" activeSheetId="1"/>
    <customWorkbookView name="User465b - Личное представление" guid="{471079C8-6E8B-4088-8968-A7D0C5B8653D}" mergeInterval="0" personalView="1" maximized="1" xWindow="1" yWindow="1" windowWidth="1920" windowHeight="850" activeSheetId="1"/>
    <customWorkbookView name="user416d - Личное представление" guid="{998E5F34-5F22-456C-AF6B-44B849DA5E75}" mergeInterval="0" personalView="1" maximized="1" xWindow="1" yWindow="1" windowWidth="1916" windowHeight="692" activeSheetId="1"/>
    <customWorkbookView name="User415b - Личное представление" guid="{0EDC1FFF-2611-4DAC-98A8-22EC25025967}" mergeInterval="0" personalView="1" maximized="1" xWindow="1" yWindow="1" windowWidth="1916" windowHeight="808" activeSheetId="1"/>
    <customWorkbookView name="user415a - Личное представление" guid="{F9D2B861-A6DF-4E58-9205-20667B07345D}" mergeInterval="0" personalView="1" maximized="1" xWindow="1" yWindow="1" windowWidth="1440" windowHeight="633" activeSheetId="1"/>
    <customWorkbookView name="User_455 - Личное представление" guid="{33313D92-ACCC-472C-8066-C92558BED64F}" mergeInterval="0" personalView="1" maximized="1" xWindow="1" yWindow="1" windowWidth="1920" windowHeight="753" activeSheetId="1"/>
    <customWorkbookView name="User565 - Личное представление" guid="{B5FF27E5-4C0E-4323-88CE-5D44F441DDEF}" mergeInterval="0" personalView="1" maximized="1" xWindow="1" yWindow="1" windowWidth="1920" windowHeight="829" activeSheetId="1"/>
    <customWorkbookView name="user458 - Личное представление" guid="{CC0A6F72-A956-4FF0-A9CF-B2F133844683}" mergeInterval="0" personalView="1" maximized="1" xWindow="1" yWindow="1" windowWidth="1280" windowHeight="453" activeSheetId="1"/>
    <customWorkbookView name="User457c  - Личное представление" guid="{2A0A5548-2EEF-4469-A03C-FA481083CE33}" mergeInterval="0" personalView="1" maximized="1" windowWidth="1020" windowHeight="569" activeSheetId="1"/>
    <customWorkbookView name="user_457 - Личное представление" guid="{7EDDA008-F905-436E-A980-951BDACDA577}" mergeInterval="0" personalView="1" maximized="1" xWindow="1" yWindow="1" windowWidth="1920" windowHeight="753" activeSheetId="1"/>
    <customWorkbookView name="User416 - Личное представление" guid="{452C56A1-7A56-4ADE-A5CF-E260228787E3}" mergeInterval="0" personalView="1" maximized="1" windowWidth="1020" windowHeight="596" activeSheetId="1"/>
    <customWorkbookView name="Garmash - Личное представление" guid="{3B5575E9-696E-4E1F-8BBE-8483CF318052}" mergeInterval="0" personalView="1" maximized="1" windowWidth="1020" windowHeight="562" activeSheetId="1"/>
    <customWorkbookView name="User_463 - Личное представление" guid="{E147D13D-D04D-431E-888C-5A9AE670FC44}" mergeInterval="0" personalView="1" maximized="1" windowWidth="1276" windowHeight="850" activeSheetId="1"/>
    <customWorkbookView name="Tanya - Личное представление" guid="{795D5ECF-BF90-4F3E-A74E-B1A55C8421F2}" mergeInterval="0" personalView="1" maximized="1" xWindow="1" yWindow="1" windowWidth="1920" windowHeight="808" activeSheetId="1"/>
    <customWorkbookView name="user_451 - Личное представление" guid="{5EEB5DC5-097B-47D6-81BA-F19E1000B57E}" mergeInterval="0" personalView="1" maximized="1" xWindow="-8" yWindow="-8" windowWidth="1936" windowHeight="1056" activeSheetId="1"/>
    <customWorkbookView name="Танечка - Особисте подання" guid="{839A87F2-F73A-45C5-ADB8-392A99CC1EFF}" mergeInterval="0" personalView="1" maximized="1" xWindow="-8" yWindow="-8" windowWidth="1936" windowHeight="1056" activeSheetId="1"/>
    <customWorkbookView name="Microsoft - Личное представление" guid="{72EDDA2C-BFF2-4D48-A13B-2B9C46213374}" mergeInterval="0" personalView="1" maximized="1" xWindow="1" yWindow="1" windowWidth="1366" windowHeight="496" activeSheetId="1"/>
    <customWorkbookView name="User56a - Личное представление" guid="{B0CF427B-E64B-46A6-97A4-9B49090FE4BE}" mergeInterval="0" personalView="1" maximized="1" xWindow="-8" yWindow="-8" windowWidth="1936" windowHeight="1056" activeSheetId="1"/>
    <customWorkbookView name="User563b - Личное представление" guid="{8112C56A-816E-41B5-AC5C-5C34336EE27C}" mergeInterval="0" personalView="1" maximized="1" xWindow="-9" yWindow="-9" windowWidth="1938" windowHeight="1048" activeSheetId="1"/>
    <customWorkbookView name="User416b - Личное представление" guid="{90518B97-7307-4173-A97E-975285B914B1}" mergeInterval="0" personalView="1" maximized="1" xWindow="1" yWindow="1" windowWidth="1920" windowHeight="850" activeSheetId="1"/>
    <customWorkbookView name="User463d - Личное представление" guid="{F9324F9E-6E0D-484A-B1A6-F87CCAA93894}" mergeInterval="0" personalView="1" maximized="1" xWindow="1" yWindow="1" windowWidth="1920" windowHeight="850" activeSheetId="1"/>
    <customWorkbookView name="user565f - Личное представление" guid="{713A662A-DFDD-43FB-A56E-1E210432D89D}" mergeInterval="0" personalView="1" maximized="1" xWindow="1" yWindow="1" windowWidth="1920" windowHeight="850" activeSheetId="1"/>
    <customWorkbookView name="user457a - Личное представление" guid="{1BDFBE17-25BB-4BB9-B67F-4757B39B2D64}" mergeInterval="0" personalView="1" maximized="1" xWindow="1" yWindow="1" windowWidth="1916" windowHeight="810" activeSheetId="1"/>
    <customWorkbookView name="user415c - Личное представление" guid="{3824CD03-2F75-4531-8348-997F8B6518CE}" mergeInterval="0" personalView="1" maximized="1" xWindow="1" yWindow="1" windowWidth="1920" windowHeight="850" activeSheetId="1"/>
    <customWorkbookView name="User452c - Личное представление" guid="{B09841F2-D07A-4B31-A395-000C1A63FF41}" mergeInterval="0" personalView="1" maximized="1" xWindow="1" yWindow="1" windowWidth="1920" windowHeight="853" activeSheetId="1"/>
    <customWorkbookView name="User415 - Личное представление" guid="{06B33669-D909-4CD8-806F-33C009B9DF0A}" mergeInterval="0" personalView="1" maximized="1" xWindow="1" yWindow="1" windowWidth="1920" windowHeight="850" activeSheetId="1"/>
    <customWorkbookView name="User465d - Личное представление" guid="{D0621073-25BE-47D7-AC33-51146458D41C}" mergeInterval="0" personalView="1" maximized="1" xWindow="1" yWindow="1" windowWidth="1920" windowHeight="850" activeSheetId="1"/>
    <customWorkbookView name="User_569 - Личное представление" guid="{68CBFC64-03A4-4F74-B34E-EE1DB915A668}" mergeInterval="0" personalView="1" maximized="1" xWindow="1" yWindow="1" windowWidth="1916" windowHeight="850" activeSheetId="1"/>
    <customWorkbookView name="user457b - Личное представление" guid="{95A7493F-2B11-406A-BB91-458FD9DC3BAE}" mergeInterval="0" personalView="1" maximized="1" xWindow="1" yWindow="1" windowWidth="1877" windowHeight="778" activeSheetId="1"/>
    <customWorkbookView name="User465e - Личное представление" guid="{2C18B72E-FABC-405E-9989-871873679CB9}" mergeInterval="0" personalView="1" maximized="1" xWindow="1" yWindow="1" windowWidth="1920" windowHeight="850" activeSheetId="1"/>
    <customWorkbookView name="User416a - Личное представление" guid="{CFD58EC5-F475-4F0C-8822-861C497EA100}" mergeInterval="0" personalView="1" maximized="1" xWindow="1" yWindow="1" windowWidth="1920" windowHeight="850" activeSheetId="1" showComments="commIndAndComment"/>
  </customWorkbookViews>
</workbook>
</file>

<file path=xl/calcChain.xml><?xml version="1.0" encoding="utf-8"?>
<calcChain xmlns="http://schemas.openxmlformats.org/spreadsheetml/2006/main">
  <c r="G226" i="1"/>
  <c r="E303" l="1"/>
  <c r="F250"/>
  <c r="F136"/>
  <c r="D305"/>
  <c r="C305"/>
  <c r="D302"/>
  <c r="C302"/>
  <c r="E302" l="1"/>
  <c r="F281" l="1"/>
  <c r="E281"/>
  <c r="E279"/>
  <c r="I280"/>
  <c r="I279"/>
  <c r="J273"/>
  <c r="I273"/>
  <c r="F273"/>
  <c r="E273"/>
  <c r="I249"/>
  <c r="F235"/>
  <c r="D287"/>
  <c r="D166"/>
  <c r="H267"/>
  <c r="H240"/>
  <c r="G263"/>
  <c r="J218"/>
  <c r="D161"/>
  <c r="H162"/>
  <c r="H161"/>
  <c r="G162"/>
  <c r="G161"/>
  <c r="C162"/>
  <c r="C161"/>
  <c r="D274"/>
  <c r="D115"/>
  <c r="D117"/>
  <c r="C115"/>
  <c r="C117"/>
  <c r="E274" l="1"/>
  <c r="E287"/>
  <c r="J127"/>
  <c r="J130"/>
  <c r="J132"/>
  <c r="J135"/>
  <c r="J138"/>
  <c r="J140"/>
  <c r="J155"/>
  <c r="I126"/>
  <c r="I138"/>
  <c r="H137"/>
  <c r="G137"/>
  <c r="I155"/>
  <c r="G121"/>
  <c r="G119"/>
  <c r="H141"/>
  <c r="H146"/>
  <c r="I140"/>
  <c r="I142"/>
  <c r="I143"/>
  <c r="I147"/>
  <c r="I148"/>
  <c r="I158"/>
  <c r="I157"/>
  <c r="I154"/>
  <c r="H151"/>
  <c r="H150"/>
  <c r="H129"/>
  <c r="H122"/>
  <c r="H121"/>
  <c r="H119"/>
  <c r="E147"/>
  <c r="E148"/>
  <c r="E157"/>
  <c r="E158"/>
  <c r="E159"/>
  <c r="H156"/>
  <c r="D156"/>
  <c r="D151"/>
  <c r="D150"/>
  <c r="D146"/>
  <c r="E142"/>
  <c r="E143"/>
  <c r="D141"/>
  <c r="D122"/>
  <c r="D121"/>
  <c r="D119"/>
  <c r="C137"/>
  <c r="C134"/>
  <c r="C129"/>
  <c r="C122"/>
  <c r="C121"/>
  <c r="C119"/>
  <c r="E151" l="1"/>
  <c r="J122"/>
  <c r="I151"/>
  <c r="I141"/>
  <c r="I156"/>
  <c r="I146"/>
  <c r="E141"/>
  <c r="E146"/>
  <c r="E156"/>
  <c r="H149"/>
  <c r="D149"/>
  <c r="I150"/>
  <c r="E150"/>
  <c r="H120"/>
  <c r="I137"/>
  <c r="J137"/>
  <c r="I48"/>
  <c r="I106"/>
  <c r="I105"/>
  <c r="I95"/>
  <c r="J93"/>
  <c r="J87"/>
  <c r="E95"/>
  <c r="F83"/>
  <c r="C82"/>
  <c r="F41"/>
  <c r="F38"/>
  <c r="F37"/>
  <c r="E39"/>
  <c r="E38"/>
  <c r="H86"/>
  <c r="H101"/>
  <c r="H92"/>
  <c r="J78"/>
  <c r="I78"/>
  <c r="G101"/>
  <c r="G10"/>
  <c r="H233"/>
  <c r="H230"/>
  <c r="H227"/>
  <c r="D237"/>
  <c r="D232"/>
  <c r="D231"/>
  <c r="D230"/>
  <c r="D229"/>
  <c r="D228"/>
  <c r="D227"/>
  <c r="C227"/>
  <c r="C226" s="1"/>
  <c r="H226" l="1"/>
  <c r="D226"/>
  <c r="F232"/>
  <c r="I149"/>
  <c r="J86"/>
  <c r="E149"/>
  <c r="I101"/>
  <c r="H89"/>
  <c r="H203"/>
  <c r="E186"/>
  <c r="F186"/>
  <c r="D204"/>
  <c r="D182"/>
  <c r="D203"/>
  <c r="D195"/>
  <c r="D180"/>
  <c r="D173"/>
  <c r="D167"/>
  <c r="D165"/>
  <c r="D208"/>
  <c r="G208"/>
  <c r="C208"/>
  <c r="C202" l="1"/>
  <c r="J161"/>
  <c r="C166"/>
  <c r="C165"/>
  <c r="J267"/>
  <c r="H265"/>
  <c r="D265"/>
  <c r="C265"/>
  <c r="J263"/>
  <c r="G266"/>
  <c r="G255"/>
  <c r="J289"/>
  <c r="J270"/>
  <c r="J251"/>
  <c r="J250"/>
  <c r="J248"/>
  <c r="I243"/>
  <c r="I242"/>
  <c r="I240"/>
  <c r="I245"/>
  <c r="D239"/>
  <c r="C239"/>
  <c r="G241"/>
  <c r="D92"/>
  <c r="D101"/>
  <c r="G220"/>
  <c r="H220"/>
  <c r="D82"/>
  <c r="E116"/>
  <c r="F144"/>
  <c r="D160"/>
  <c r="D192"/>
  <c r="C192"/>
  <c r="H277"/>
  <c r="D277"/>
  <c r="G265" l="1"/>
  <c r="G258" s="1"/>
  <c r="I277"/>
  <c r="H258"/>
  <c r="E277"/>
  <c r="D258"/>
  <c r="F82"/>
  <c r="F239"/>
  <c r="G82"/>
  <c r="J265" l="1"/>
  <c r="I289"/>
  <c r="E250" l="1"/>
  <c r="E270"/>
  <c r="I248"/>
  <c r="I251"/>
  <c r="I247"/>
  <c r="I246"/>
  <c r="C101"/>
  <c r="I86"/>
  <c r="E109"/>
  <c r="F104"/>
  <c r="E104"/>
  <c r="E103"/>
  <c r="E102"/>
  <c r="G92"/>
  <c r="E96"/>
  <c r="E91"/>
  <c r="I82"/>
  <c r="I87"/>
  <c r="I85"/>
  <c r="E83"/>
  <c r="I267"/>
  <c r="I210"/>
  <c r="I187"/>
  <c r="F190"/>
  <c r="F189"/>
  <c r="I80"/>
  <c r="E182"/>
  <c r="F46"/>
  <c r="F45"/>
  <c r="E84"/>
  <c r="D52"/>
  <c r="C52"/>
  <c r="F59"/>
  <c r="E57"/>
  <c r="F56"/>
  <c r="E54"/>
  <c r="F33"/>
  <c r="F24"/>
  <c r="E21"/>
  <c r="E13"/>
  <c r="I153"/>
  <c r="H152"/>
  <c r="E126"/>
  <c r="D120"/>
  <c r="G89" l="1"/>
  <c r="J92"/>
  <c r="I152"/>
  <c r="F52"/>
  <c r="H215"/>
  <c r="D215"/>
  <c r="D212"/>
  <c r="D233"/>
  <c r="D255"/>
  <c r="D253"/>
  <c r="J290"/>
  <c r="J162"/>
  <c r="E289"/>
  <c r="J200"/>
  <c r="I201"/>
  <c r="I200"/>
  <c r="I199"/>
  <c r="H198"/>
  <c r="D188"/>
  <c r="F181"/>
  <c r="E181"/>
  <c r="G239"/>
  <c r="G198"/>
  <c r="C188"/>
  <c r="F119"/>
  <c r="J261"/>
  <c r="F261"/>
  <c r="E239"/>
  <c r="E285"/>
  <c r="F285"/>
  <c r="J89" l="1"/>
  <c r="D252"/>
  <c r="J229"/>
  <c r="I229"/>
  <c r="I230"/>
  <c r="J230"/>
  <c r="I236"/>
  <c r="J236"/>
  <c r="I232"/>
  <c r="F188"/>
  <c r="J198"/>
  <c r="I198"/>
  <c r="G252"/>
  <c r="E100"/>
  <c r="J81"/>
  <c r="J79"/>
  <c r="I93"/>
  <c r="I89" l="1"/>
  <c r="I92"/>
  <c r="J197"/>
  <c r="E190"/>
  <c r="E189"/>
  <c r="E188"/>
  <c r="E111"/>
  <c r="F110"/>
  <c r="E110"/>
  <c r="E107"/>
  <c r="F105"/>
  <c r="E105"/>
  <c r="F100"/>
  <c r="D99"/>
  <c r="C99"/>
  <c r="F98"/>
  <c r="E98"/>
  <c r="E97"/>
  <c r="E94"/>
  <c r="C92"/>
  <c r="F90"/>
  <c r="E90"/>
  <c r="E82"/>
  <c r="I81"/>
  <c r="I79"/>
  <c r="E77"/>
  <c r="I76"/>
  <c r="E75"/>
  <c r="F74"/>
  <c r="E74"/>
  <c r="H73"/>
  <c r="G73"/>
  <c r="G72" s="1"/>
  <c r="D73"/>
  <c r="C73"/>
  <c r="C72" s="1"/>
  <c r="F71"/>
  <c r="E71"/>
  <c r="E69"/>
  <c r="D68"/>
  <c r="C68"/>
  <c r="F67"/>
  <c r="E67"/>
  <c r="E66"/>
  <c r="F65"/>
  <c r="E65"/>
  <c r="E64"/>
  <c r="F63"/>
  <c r="E63"/>
  <c r="F62"/>
  <c r="E62"/>
  <c r="D61"/>
  <c r="C61"/>
  <c r="E59"/>
  <c r="E58"/>
  <c r="E56"/>
  <c r="F55"/>
  <c r="E55"/>
  <c r="C51"/>
  <c r="E49"/>
  <c r="I47"/>
  <c r="E46"/>
  <c r="E45"/>
  <c r="F44"/>
  <c r="E44"/>
  <c r="D43"/>
  <c r="C43"/>
  <c r="E42"/>
  <c r="E41"/>
  <c r="D40"/>
  <c r="C40"/>
  <c r="F39"/>
  <c r="E37"/>
  <c r="E36"/>
  <c r="E35"/>
  <c r="F34"/>
  <c r="E34"/>
  <c r="E33"/>
  <c r="E32"/>
  <c r="E31"/>
  <c r="E30"/>
  <c r="D29"/>
  <c r="C29"/>
  <c r="F27"/>
  <c r="E27"/>
  <c r="E26"/>
  <c r="D25"/>
  <c r="C25"/>
  <c r="E24"/>
  <c r="D23"/>
  <c r="C23"/>
  <c r="E20"/>
  <c r="D19"/>
  <c r="C19"/>
  <c r="E18"/>
  <c r="E17"/>
  <c r="E16"/>
  <c r="E15"/>
  <c r="E14"/>
  <c r="F13"/>
  <c r="D12"/>
  <c r="C12"/>
  <c r="H10"/>
  <c r="G50" l="1"/>
  <c r="G88" s="1"/>
  <c r="H72"/>
  <c r="H50" s="1"/>
  <c r="D72"/>
  <c r="F73"/>
  <c r="C89"/>
  <c r="F23"/>
  <c r="C60"/>
  <c r="C50" s="1"/>
  <c r="F29"/>
  <c r="F99"/>
  <c r="E61"/>
  <c r="C22"/>
  <c r="E12"/>
  <c r="C28"/>
  <c r="E92"/>
  <c r="E23"/>
  <c r="E29"/>
  <c r="D22"/>
  <c r="E68"/>
  <c r="E25"/>
  <c r="D28"/>
  <c r="E40"/>
  <c r="E99"/>
  <c r="D11"/>
  <c r="I73"/>
  <c r="E19"/>
  <c r="E52"/>
  <c r="E73"/>
  <c r="D60"/>
  <c r="C11"/>
  <c r="E43"/>
  <c r="E101"/>
  <c r="F12"/>
  <c r="D89"/>
  <c r="I10"/>
  <c r="F43"/>
  <c r="F61"/>
  <c r="F92"/>
  <c r="F101"/>
  <c r="D51"/>
  <c r="F72" l="1"/>
  <c r="F51"/>
  <c r="E72"/>
  <c r="C10"/>
  <c r="C88" s="1"/>
  <c r="F22"/>
  <c r="E60"/>
  <c r="D50"/>
  <c r="E22"/>
  <c r="F60"/>
  <c r="D10"/>
  <c r="E28"/>
  <c r="F28"/>
  <c r="I72"/>
  <c r="F11"/>
  <c r="E89"/>
  <c r="E11"/>
  <c r="E51"/>
  <c r="C112" l="1"/>
  <c r="D88"/>
  <c r="F10"/>
  <c r="E10"/>
  <c r="E50"/>
  <c r="F50"/>
  <c r="H88" s="1"/>
  <c r="H112" l="1"/>
  <c r="D112"/>
  <c r="E88"/>
  <c r="F88"/>
  <c r="F112" l="1"/>
  <c r="E112"/>
  <c r="J297"/>
  <c r="I297"/>
  <c r="D283"/>
  <c r="C283"/>
  <c r="E145"/>
  <c r="E144"/>
  <c r="C123"/>
  <c r="C120"/>
  <c r="C118" l="1"/>
  <c r="F214"/>
  <c r="F213"/>
  <c r="C167"/>
  <c r="C160" l="1"/>
  <c r="H241"/>
  <c r="G233"/>
  <c r="C233"/>
  <c r="C225" s="1"/>
  <c r="J256"/>
  <c r="F264"/>
  <c r="E261"/>
  <c r="E267"/>
  <c r="F267"/>
  <c r="E256"/>
  <c r="E221"/>
  <c r="C212"/>
  <c r="J296"/>
  <c r="I296"/>
  <c r="J275"/>
  <c r="I275"/>
  <c r="I161"/>
  <c r="I162"/>
  <c r="C255"/>
  <c r="I261"/>
  <c r="J227"/>
  <c r="F227"/>
  <c r="I250"/>
  <c r="I256"/>
  <c r="F254"/>
  <c r="E254"/>
  <c r="H239" l="1"/>
  <c r="F233"/>
  <c r="I241"/>
  <c r="I266"/>
  <c r="J266"/>
  <c r="G225"/>
  <c r="I233"/>
  <c r="J233"/>
  <c r="J220"/>
  <c r="F256"/>
  <c r="J239" l="1"/>
  <c r="I265"/>
  <c r="I239"/>
  <c r="J203"/>
  <c r="I203"/>
  <c r="J115"/>
  <c r="F117"/>
  <c r="E140"/>
  <c r="E139"/>
  <c r="E138"/>
  <c r="E136"/>
  <c r="E135"/>
  <c r="E133"/>
  <c r="E132"/>
  <c r="E131"/>
  <c r="E130"/>
  <c r="E127"/>
  <c r="E125"/>
  <c r="E124"/>
  <c r="E122"/>
  <c r="E119"/>
  <c r="E121"/>
  <c r="F133"/>
  <c r="C253"/>
  <c r="C258"/>
  <c r="G219"/>
  <c r="G215"/>
  <c r="D219"/>
  <c r="E217"/>
  <c r="J209"/>
  <c r="J206"/>
  <c r="H114"/>
  <c r="G114"/>
  <c r="E237"/>
  <c r="E235"/>
  <c r="E231"/>
  <c r="E264"/>
  <c r="J258"/>
  <c r="F275"/>
  <c r="F284"/>
  <c r="E284"/>
  <c r="E253" l="1"/>
  <c r="I119"/>
  <c r="F230"/>
  <c r="J114"/>
  <c r="I197"/>
  <c r="I258"/>
  <c r="J224"/>
  <c r="J216"/>
  <c r="E128"/>
  <c r="D123"/>
  <c r="J184"/>
  <c r="J179"/>
  <c r="E175"/>
  <c r="F173"/>
  <c r="F172"/>
  <c r="F171"/>
  <c r="C194" l="1"/>
  <c r="H255" l="1"/>
  <c r="I255" l="1"/>
  <c r="J255"/>
  <c r="H252"/>
  <c r="E232"/>
  <c r="J252" l="1"/>
  <c r="I252"/>
  <c r="H238"/>
  <c r="G238" l="1"/>
  <c r="I238" s="1"/>
  <c r="H219"/>
  <c r="C219"/>
  <c r="J219" l="1"/>
  <c r="J238"/>
  <c r="E120"/>
  <c r="J237" l="1"/>
  <c r="J180"/>
  <c r="G272"/>
  <c r="H222"/>
  <c r="G222"/>
  <c r="G211" s="1"/>
  <c r="F212"/>
  <c r="J295"/>
  <c r="J222" l="1"/>
  <c r="F296"/>
  <c r="F253" l="1"/>
  <c r="D137"/>
  <c r="F228"/>
  <c r="C114" l="1"/>
  <c r="G160" l="1"/>
  <c r="C307" l="1"/>
  <c r="C309" s="1"/>
  <c r="I295" l="1"/>
  <c r="I227"/>
  <c r="I224"/>
  <c r="I220"/>
  <c r="I218"/>
  <c r="I216"/>
  <c r="I209"/>
  <c r="I184"/>
  <c r="I180"/>
  <c r="E275"/>
  <c r="H208"/>
  <c r="H134"/>
  <c r="F308"/>
  <c r="E308"/>
  <c r="H272"/>
  <c r="D272"/>
  <c r="C272"/>
  <c r="F255"/>
  <c r="D225"/>
  <c r="F265"/>
  <c r="D222"/>
  <c r="E225" l="1"/>
  <c r="J272"/>
  <c r="H118"/>
  <c r="E255"/>
  <c r="F272"/>
  <c r="I222"/>
  <c r="I272"/>
  <c r="F139"/>
  <c r="F138"/>
  <c r="F135"/>
  <c r="F132"/>
  <c r="F131"/>
  <c r="F130"/>
  <c r="F128"/>
  <c r="F127"/>
  <c r="F125"/>
  <c r="F124"/>
  <c r="F122"/>
  <c r="F121"/>
  <c r="F204"/>
  <c r="E204"/>
  <c r="F203"/>
  <c r="E203"/>
  <c r="F196"/>
  <c r="E196"/>
  <c r="F195"/>
  <c r="E195"/>
  <c r="F193"/>
  <c r="E193"/>
  <c r="F191"/>
  <c r="E191"/>
  <c r="E187"/>
  <c r="E184"/>
  <c r="E180"/>
  <c r="F179"/>
  <c r="E179"/>
  <c r="F177"/>
  <c r="E177"/>
  <c r="F176"/>
  <c r="E176"/>
  <c r="F174"/>
  <c r="E174"/>
  <c r="E173"/>
  <c r="E172"/>
  <c r="E171"/>
  <c r="D183"/>
  <c r="D178"/>
  <c r="D170"/>
  <c r="D202"/>
  <c r="D194"/>
  <c r="D129"/>
  <c r="D134"/>
  <c r="D118" l="1"/>
  <c r="D169"/>
  <c r="G294"/>
  <c r="G293" s="1"/>
  <c r="G288"/>
  <c r="G287"/>
  <c r="G269"/>
  <c r="G268" s="1"/>
  <c r="J208"/>
  <c r="G202"/>
  <c r="G183"/>
  <c r="G178"/>
  <c r="G134"/>
  <c r="G129"/>
  <c r="G120"/>
  <c r="C294"/>
  <c r="C269"/>
  <c r="C268" s="1"/>
  <c r="C252"/>
  <c r="E233"/>
  <c r="C222"/>
  <c r="C215"/>
  <c r="C205"/>
  <c r="C183"/>
  <c r="C178"/>
  <c r="C170"/>
  <c r="E137"/>
  <c r="E134"/>
  <c r="E129"/>
  <c r="J129" l="1"/>
  <c r="J134"/>
  <c r="F222"/>
  <c r="E215"/>
  <c r="G118"/>
  <c r="G169"/>
  <c r="C169"/>
  <c r="E252"/>
  <c r="F252"/>
  <c r="F170"/>
  <c r="E123"/>
  <c r="E118" s="1"/>
  <c r="E178"/>
  <c r="E202"/>
  <c r="C293"/>
  <c r="E194"/>
  <c r="E192"/>
  <c r="F134"/>
  <c r="E183"/>
  <c r="G205"/>
  <c r="I208"/>
  <c r="C238"/>
  <c r="E265"/>
  <c r="F178"/>
  <c r="F123"/>
  <c r="F192"/>
  <c r="F129"/>
  <c r="F120"/>
  <c r="F194"/>
  <c r="F137"/>
  <c r="F202"/>
  <c r="C211"/>
  <c r="F118" l="1"/>
  <c r="C298"/>
  <c r="G298"/>
  <c r="I135"/>
  <c r="I132"/>
  <c r="I130"/>
  <c r="I128"/>
  <c r="I127"/>
  <c r="I122"/>
  <c r="I121"/>
  <c r="C282" l="1"/>
  <c r="C286" s="1"/>
  <c r="C291" s="1"/>
  <c r="I129"/>
  <c r="I120"/>
  <c r="I134"/>
  <c r="I118" l="1"/>
  <c r="H202"/>
  <c r="H183"/>
  <c r="I179"/>
  <c r="H178"/>
  <c r="H294"/>
  <c r="H293" l="1"/>
  <c r="H169"/>
  <c r="J294"/>
  <c r="I294"/>
  <c r="I202"/>
  <c r="J202"/>
  <c r="J178"/>
  <c r="I183"/>
  <c r="E170"/>
  <c r="I178"/>
  <c r="F226"/>
  <c r="E226"/>
  <c r="D307"/>
  <c r="D309" l="1"/>
  <c r="J169"/>
  <c r="F307"/>
  <c r="E307"/>
  <c r="I169"/>
  <c r="E169"/>
  <c r="F169"/>
  <c r="F309" l="1"/>
  <c r="E309"/>
  <c r="H269"/>
  <c r="H268" l="1"/>
  <c r="J269"/>
  <c r="H225"/>
  <c r="J225" l="1"/>
  <c r="J226"/>
  <c r="I226"/>
  <c r="D205" l="1"/>
  <c r="I263"/>
  <c r="F229" l="1"/>
  <c r="E115" l="1"/>
  <c r="I237" l="1"/>
  <c r="E117" l="1"/>
  <c r="D114"/>
  <c r="I225" l="1"/>
  <c r="E161"/>
  <c r="D294" l="1"/>
  <c r="F115"/>
  <c r="I115"/>
  <c r="F294" l="1"/>
  <c r="J293"/>
  <c r="I293"/>
  <c r="D293"/>
  <c r="H298"/>
  <c r="F114"/>
  <c r="E114"/>
  <c r="I114"/>
  <c r="F293" l="1"/>
  <c r="J298"/>
  <c r="I298"/>
  <c r="D298"/>
  <c r="F298" l="1"/>
  <c r="E168"/>
  <c r="F166"/>
  <c r="E166"/>
  <c r="F164"/>
  <c r="E164"/>
  <c r="F163"/>
  <c r="E163"/>
  <c r="F162"/>
  <c r="E162"/>
  <c r="F161"/>
  <c r="F225"/>
  <c r="F306"/>
  <c r="F305"/>
  <c r="F224"/>
  <c r="F218"/>
  <c r="F217"/>
  <c r="F216"/>
  <c r="F210"/>
  <c r="F209"/>
  <c r="F207"/>
  <c r="F206"/>
  <c r="F283" l="1"/>
  <c r="E283"/>
  <c r="E167"/>
  <c r="F165"/>
  <c r="E165"/>
  <c r="H160"/>
  <c r="I160" l="1"/>
  <c r="J160"/>
  <c r="F160"/>
  <c r="E160"/>
  <c r="F220"/>
  <c r="I270"/>
  <c r="F215" l="1"/>
  <c r="E206" l="1"/>
  <c r="I206"/>
  <c r="E207"/>
  <c r="I207"/>
  <c r="E209"/>
  <c r="E210"/>
  <c r="E213"/>
  <c r="E214"/>
  <c r="J215"/>
  <c r="E216"/>
  <c r="E218"/>
  <c r="E220"/>
  <c r="E223"/>
  <c r="E224"/>
  <c r="E227"/>
  <c r="E228"/>
  <c r="E229"/>
  <c r="E230"/>
  <c r="F258"/>
  <c r="D269"/>
  <c r="H287"/>
  <c r="H288"/>
  <c r="I290"/>
  <c r="E293"/>
  <c r="E294"/>
  <c r="E296"/>
  <c r="E298"/>
  <c r="E305"/>
  <c r="E306"/>
  <c r="J287" l="1"/>
  <c r="J288"/>
  <c r="D268"/>
  <c r="E258"/>
  <c r="D238"/>
  <c r="I288"/>
  <c r="I287"/>
  <c r="I215"/>
  <c r="F219"/>
  <c r="F208"/>
  <c r="H205"/>
  <c r="I269"/>
  <c r="E272"/>
  <c r="D211"/>
  <c r="E269"/>
  <c r="E219"/>
  <c r="H211"/>
  <c r="E212"/>
  <c r="E222"/>
  <c r="E208"/>
  <c r="J211" l="1"/>
  <c r="J205"/>
  <c r="I211"/>
  <c r="I219"/>
  <c r="H282"/>
  <c r="F205"/>
  <c r="E205"/>
  <c r="I205"/>
  <c r="F211"/>
  <c r="E211"/>
  <c r="E268"/>
  <c r="D282" l="1"/>
  <c r="F238"/>
  <c r="E238"/>
  <c r="H286"/>
  <c r="E282" l="1"/>
  <c r="F282"/>
  <c r="D286"/>
  <c r="H291"/>
  <c r="D291" l="1"/>
  <c r="F286"/>
  <c r="E286"/>
  <c r="F291" l="1"/>
  <c r="E291"/>
  <c r="I268"/>
  <c r="G282" l="1"/>
  <c r="J268"/>
  <c r="J282" l="1"/>
  <c r="I282"/>
  <c r="G286"/>
  <c r="J286" l="1"/>
  <c r="I286"/>
  <c r="G291"/>
  <c r="J291" l="1"/>
  <c r="I291"/>
  <c r="G112" l="1"/>
  <c r="J88"/>
  <c r="I88"/>
  <c r="J50"/>
  <c r="I50"/>
  <c r="J112" l="1"/>
  <c r="I112"/>
</calcChain>
</file>

<file path=xl/sharedStrings.xml><?xml version="1.0" encoding="utf-8"?>
<sst xmlns="http://schemas.openxmlformats.org/spreadsheetml/2006/main" count="544" uniqueCount="509">
  <si>
    <t>Загальний фонд</t>
  </si>
  <si>
    <t>Спеціальний фонд</t>
  </si>
  <si>
    <t>Код бюджетної класифікації</t>
  </si>
  <si>
    <t>Найменування коду згідно із бюджетною класифікацією</t>
  </si>
  <si>
    <t>Державне управління</t>
  </si>
  <si>
    <t>Органи місцевого самоврядування</t>
  </si>
  <si>
    <t>Освіта</t>
  </si>
  <si>
    <t>Охорона здоров'я</t>
  </si>
  <si>
    <t>Соціальний захист та соціальне забезпечення</t>
  </si>
  <si>
    <t>Житлово-комунальне господарство</t>
  </si>
  <si>
    <t>Культура і мистецтво</t>
  </si>
  <si>
    <t>Фізична культура і спорт</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</si>
  <si>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</si>
  <si>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</si>
  <si>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МІЖБЮДЖЕТНІ ТРАНСФЕРТИ</t>
  </si>
  <si>
    <t>ВСЬОГО ВИДАТКІВ З КРЕДИТУВАННЯМ</t>
  </si>
  <si>
    <t xml:space="preserve">РАЗОМ ВИДАТКИ </t>
  </si>
  <si>
    <t xml:space="preserve"> КРЕДИТУВАННЯ </t>
  </si>
  <si>
    <t xml:space="preserve">ВСЬОГО ВИДАТКІВ </t>
  </si>
  <si>
    <t xml:space="preserve">ФІНАНСУВАННЯ </t>
  </si>
  <si>
    <t>Дефіцит (-)/профіцит (+)</t>
  </si>
  <si>
    <t>Внутрішнє фінансування</t>
  </si>
  <si>
    <t>Фінансування за рахунок залишків коштів на рахунках бюджетних установ</t>
  </si>
  <si>
    <t>Фінансування за рахунок зміни залишків коштів бюджетів</t>
  </si>
  <si>
    <t>Разом коштів, отриманих з усіх джерел фінансування бюджету за типом кредитора</t>
  </si>
  <si>
    <t>Внутрішній борг</t>
  </si>
  <si>
    <t>Класифікація боргу за типом боргового зобов"язання</t>
  </si>
  <si>
    <t>Заборгованість за середньостроковими зобов"язаннями (позики за рахунок ресурсів єдиного казначейського рахунка)</t>
  </si>
  <si>
    <t>Відхилення, тис. грн.</t>
  </si>
  <si>
    <t>Темп зростання, %</t>
  </si>
  <si>
    <t>0100</t>
  </si>
  <si>
    <t>1000</t>
  </si>
  <si>
    <t>1010</t>
  </si>
  <si>
    <t>1020</t>
  </si>
  <si>
    <t>1030</t>
  </si>
  <si>
    <t>1090</t>
  </si>
  <si>
    <t>2000</t>
  </si>
  <si>
    <t>2010</t>
  </si>
  <si>
    <t>Багатопрофільна стаціонарна медична допомога населенню</t>
  </si>
  <si>
    <t>3000</t>
  </si>
  <si>
    <t>3030</t>
  </si>
  <si>
    <t>3031</t>
  </si>
  <si>
    <t>3033</t>
  </si>
  <si>
    <t>Надання пільг окремим категоріям громадян з оплати послуг зв'язку</t>
  </si>
  <si>
    <t>3035</t>
  </si>
  <si>
    <t>3036</t>
  </si>
  <si>
    <t>Компенсаційні виплати на пільговий проїзд електротранспортом окремим категоріям громадян</t>
  </si>
  <si>
    <t>3050</t>
  </si>
  <si>
    <t>3090</t>
  </si>
  <si>
    <t>3100</t>
  </si>
  <si>
    <t>3104</t>
  </si>
  <si>
    <t>3105</t>
  </si>
  <si>
    <t>3190</t>
  </si>
  <si>
    <t>3240</t>
  </si>
  <si>
    <t>Пільгове медичне обслуговування осіб, які постраждали внаслідок Чорнобильської катастрофи</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</si>
  <si>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</si>
  <si>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Здійснення соціальної роботи з вразливими категоріями населення</t>
  </si>
  <si>
    <t>Соціальний захист ветеранів війни та праці</t>
  </si>
  <si>
    <t>6000</t>
  </si>
  <si>
    <t>6010</t>
  </si>
  <si>
    <t>4000</t>
  </si>
  <si>
    <t>4060</t>
  </si>
  <si>
    <t>5000</t>
  </si>
  <si>
    <t>Проведення спортивної роботи в регіоні</t>
  </si>
  <si>
    <t>5010</t>
  </si>
  <si>
    <t>5011</t>
  </si>
  <si>
    <t>5012</t>
  </si>
  <si>
    <t>5030</t>
  </si>
  <si>
    <t>5031</t>
  </si>
  <si>
    <t>5032</t>
  </si>
  <si>
    <t>5033</t>
  </si>
  <si>
    <t>5040</t>
  </si>
  <si>
    <t>5041</t>
  </si>
  <si>
    <t>5060</t>
  </si>
  <si>
    <t>5062</t>
  </si>
  <si>
    <t>5063</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</si>
  <si>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</si>
  <si>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</si>
  <si>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Проведення навчально-тренувальних зборів і змагань та заходів з інвалідного спорту</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</si>
  <si>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</si>
  <si>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</si>
  <si>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Забезпечення підготовки спортсменів вищих категорій школами вищої спортивної майстерності</t>
  </si>
  <si>
    <t>Підтримка і розвиток спортивної інфраструктури</t>
  </si>
  <si>
    <t>Утримання комунальних спортивних споруд</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</si>
  <si>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</si>
  <si>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</si>
  <si>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Забезпечення діяльності централізованої бухгалтерії</t>
  </si>
  <si>
    <t>7300</t>
  </si>
  <si>
    <t>8000</t>
  </si>
  <si>
    <t>8120</t>
  </si>
  <si>
    <t>Забезпечення збору та вивезення сміття і відходів, надійної та безперебійної експлуатації каналізаційних систем</t>
  </si>
  <si>
    <t>Інші заходи у сфері електротранспорту</t>
  </si>
  <si>
    <t>7400</t>
  </si>
  <si>
    <t>Внески до статутного капіталу суб’єктів господарювання</t>
  </si>
  <si>
    <t>3160</t>
  </si>
  <si>
    <t>1160</t>
  </si>
  <si>
    <t>Заходи з енергозбереження</t>
  </si>
  <si>
    <t>Інші заходи, пов'язані з економічною діяльністю</t>
  </si>
  <si>
    <t>Сприяння розвитку малого та середнього підприємництва</t>
  </si>
  <si>
    <t>7600</t>
  </si>
  <si>
    <t>1150</t>
  </si>
  <si>
    <t>2030</t>
  </si>
  <si>
    <t>2080</t>
  </si>
  <si>
    <t>2100</t>
  </si>
  <si>
    <t>2110</t>
  </si>
  <si>
    <t>2111</t>
  </si>
  <si>
    <t>2150</t>
  </si>
  <si>
    <t>2152</t>
  </si>
  <si>
    <t>3120</t>
  </si>
  <si>
    <t>3121</t>
  </si>
  <si>
    <t>3170</t>
  </si>
  <si>
    <t>3171</t>
  </si>
  <si>
    <t>3191</t>
  </si>
  <si>
    <t>3192</t>
  </si>
  <si>
    <t>3210</t>
  </si>
  <si>
    <t>3241</t>
  </si>
  <si>
    <t>3242</t>
  </si>
  <si>
    <t>4030</t>
  </si>
  <si>
    <t>4080</t>
  </si>
  <si>
    <t>4081</t>
  </si>
  <si>
    <t>4082</t>
  </si>
  <si>
    <t>6011</t>
  </si>
  <si>
    <t>6014</t>
  </si>
  <si>
    <t>0160</t>
  </si>
  <si>
    <t xml:space="preserve">Забезпечення діяльності інших закладів у сфері освіти </t>
  </si>
  <si>
    <t>Інші програми та заходи у сфері освіти</t>
  </si>
  <si>
    <t>Лікарсько-акушерська допомога вагітним, породіллям та новонародженим</t>
  </si>
  <si>
    <t>Стоматологічна допомога населенню</t>
  </si>
  <si>
    <t>Первинна медична допомога населенню, що надається центрами первинної медичної (медико-санітарної) допомоги</t>
  </si>
  <si>
    <t>Інші  програми, заклади та заходи у сфері охорони здоров’я</t>
  </si>
  <si>
    <t>Інші програми та заходи у сфері охорони здоров’я</t>
  </si>
  <si>
    <t>Забезпечення діяльності бібліотек</t>
  </si>
  <si>
    <t>Інші заклади та заходи в галузі культури і мистецтва</t>
  </si>
  <si>
    <t xml:space="preserve">Забезпечення діяльності інших закладів в галузі культури і мистецтва </t>
  </si>
  <si>
    <t>Інші заходи в галузі культури і мистецтва</t>
  </si>
  <si>
    <t>Утримання та ефективна експлуатація об’єктів житлово-комунального господарства</t>
  </si>
  <si>
    <t>Експлуатація та технічне обслуговування житлового фонду</t>
  </si>
  <si>
    <t>Забезпечення функціонування підприємств, установ та організацій, що виробляють, виконують та/або надають житлово-комунальні послуги</t>
  </si>
  <si>
    <t>Організація благоустрою населених пунктів</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</si>
  <si>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</si>
  <si>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Інша діяльність у сфері житлово-комунального господарства</t>
  </si>
  <si>
    <t xml:space="preserve">Реалізація державних та місцевих житлових програм </t>
  </si>
  <si>
    <t>Будівництво та регіональний розвиток</t>
  </si>
  <si>
    <t>Будівництво об'єктів житлово-комунального господарства</t>
  </si>
  <si>
    <t>Будівництво освітніх установ та закладів</t>
  </si>
  <si>
    <t>Будівництво медичних установ та закладів</t>
  </si>
  <si>
    <t>Будівництво установ та закладів культури</t>
  </si>
  <si>
    <t>Будівництво споруд, установ та закладів фізичної культури і спорту</t>
  </si>
  <si>
    <t>Будівництво об'єктів соціально-культурного призначення</t>
  </si>
  <si>
    <t>Транспорт та транспортна інфраструктура, дорожнє господарство</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</si>
  <si>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</si>
  <si>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</si>
  <si>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7426</t>
  </si>
  <si>
    <t>Забезпечення надання послуг з перевезення пасажирів електротранспортом</t>
  </si>
  <si>
    <t>Інші послуги та заходи, пов'язані з економічною діяльністю</t>
  </si>
  <si>
    <t>7640</t>
  </si>
  <si>
    <t>7670</t>
  </si>
  <si>
    <t>Інша економічна діяльність</t>
  </si>
  <si>
    <t>7690</t>
  </si>
  <si>
    <t>7693</t>
  </si>
  <si>
    <t>7370</t>
  </si>
  <si>
    <t>Реалізація інших заходів щодо соціально-економічного розвитку територій</t>
  </si>
  <si>
    <t>8100</t>
  </si>
  <si>
    <t>Захист населення і територій від надзвичайних ситуацій техногенного та природного характеру</t>
  </si>
  <si>
    <t>8110</t>
  </si>
  <si>
    <t>Заходи із запобігання та ліквідації надзвичайних ситуацій та наслідків стихійного лиха</t>
  </si>
  <si>
    <t>Заходи з організації рятування на водах</t>
  </si>
  <si>
    <t>8821</t>
  </si>
  <si>
    <t>8822</t>
  </si>
  <si>
    <t>8820</t>
  </si>
  <si>
    <t>Пільгові довгострокові кредити молодим сім’ям та одиноким молодим громадянам на будівництво/придбання житла  та їх повернення</t>
  </si>
  <si>
    <t>8200</t>
  </si>
  <si>
    <t>8220</t>
  </si>
  <si>
    <t>8230</t>
  </si>
  <si>
    <t>Інша діяльність</t>
  </si>
  <si>
    <t>Громадський порядок та безпека</t>
  </si>
  <si>
    <t>Інші заходи громадського порядку та безпеки</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</si>
  <si>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</si>
  <si>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3032</t>
  </si>
  <si>
    <t>Видатки на поховання учасників бойових дій та осіб з інвалідністю внаслідок війни</t>
  </si>
  <si>
    <t>Надання соціальних та реабілітаційних послуг громадянам похилого віку,особам з інвалідістю, дітям з інвалідністю в установах соціального обслуговування</t>
  </si>
  <si>
    <t>Надання реабілітаційних послуг особам з інвалідістю та дітям з інвалідністю</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</si>
  <si>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</si>
  <si>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Забезпечення реалізації окремих програм для осіб з інвалідністю</t>
  </si>
  <si>
    <t>Заходи та роботи з мобілізаційної підготовки місцевого значення</t>
  </si>
  <si>
    <t>Інші заклади та заходи</t>
  </si>
  <si>
    <t xml:space="preserve"> Забезпечення діяльності інших закладів у сфері соціального захисту і соціального забезпечення</t>
  </si>
  <si>
    <t xml:space="preserve"> Інші заходи у сфері соціального захисту і соціального забезпечення</t>
  </si>
  <si>
    <t>Інші програми, заклади та заходи у сфері освіти</t>
  </si>
  <si>
    <t>7680</t>
  </si>
  <si>
    <t>Забезпечення діяльності палаців і будинків культури, клубів, центрів дозвілля та інших  клубних закладів</t>
  </si>
  <si>
    <t>Інші субвенції з місцевого бюджету</t>
  </si>
  <si>
    <t>Членські внески до асоціацій органів місцевого самоврядування</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</si>
  <si>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</si>
  <si>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Будівництво установ та закладів соціальної сфери</t>
  </si>
  <si>
    <t>7610</t>
  </si>
  <si>
    <t>9770</t>
  </si>
  <si>
    <t xml:space="preserve">Амбулаторно-поліклінічна допомога населенню, крім  первинної медичної допомоги </t>
  </si>
  <si>
    <t>Первинна медична допомога населенню</t>
  </si>
  <si>
    <t>Придбання житла для окремих категорій населення відповідно до законодавства</t>
  </si>
  <si>
    <t>Інша діяльність щодо забезпечення житлом громадян</t>
  </si>
  <si>
    <t>7650</t>
  </si>
  <si>
    <t>Проведення експертної  грошової  оцінки  земельної ділянки чи права на неї</t>
  </si>
  <si>
    <t>0180</t>
  </si>
  <si>
    <t>Інша діяльність у сфері державного управління</t>
  </si>
  <si>
    <t>Надання інших пільг окремим категоріям громадян відповідно до законодавства</t>
  </si>
  <si>
    <t>Забезпечення діяльності інклюзивно-ресурсних центрів</t>
  </si>
  <si>
    <t>Надання пільгових довгострокових кредитів молодим сім'ям та одиноким молодим громадянам на будівництво/придбання житла</t>
  </si>
  <si>
    <t>Повернення пільгових довгострокових кредитів, наданих молодим сім'ям та одиноким молодим громадянам на будівництво/придбання житла</t>
  </si>
  <si>
    <t>7462</t>
  </si>
  <si>
    <t xml:space="preserve"> Утримання та розвиток автомобільних доріг та дорожньої інфраструктури за рахунок субвенції з  державного бюджету</t>
  </si>
  <si>
    <t>Надання дошкільної  освіти</t>
  </si>
  <si>
    <t>Надання спеціальної освіти мистецькими школами</t>
  </si>
  <si>
    <t>Підготовка кадрів закладами професійної (професійно-технічної) освіти та іншими закладами освіти</t>
  </si>
  <si>
    <t>Організація та проведення громадських робіт</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</si>
  <si>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</si>
  <si>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</si>
  <si>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1080</t>
  </si>
  <si>
    <t>7622</t>
  </si>
  <si>
    <t>Реалізація програм і заходів в галузі туризму та курортів</t>
  </si>
  <si>
    <t xml:space="preserve">Утримання та забезпечення діяльності центрів соціальних служб </t>
  </si>
  <si>
    <t>Надання загальної середньої освіти  за рахунок коштів місцевого бюджету</t>
  </si>
  <si>
    <t>1022</t>
  </si>
  <si>
    <t>Надання загальної середньої освіти  за рахунок освітньої субвенції</t>
  </si>
  <si>
    <t>1031</t>
  </si>
  <si>
    <t>1032</t>
  </si>
  <si>
    <t>1070</t>
  </si>
  <si>
    <t xml:space="preserve"> Надання позашкільної освіти закладами позашкільної освіти, заходи із позашкільної роботи з дітьми</t>
  </si>
  <si>
    <t>1091</t>
  </si>
  <si>
    <t>Підготовка кадрів закладами професійної (професійно-технічної) освіти та іншими закладами освіти за рахунок коштів місцевого бюджету</t>
  </si>
  <si>
    <t>1092</t>
  </si>
  <si>
    <t>1101</t>
  </si>
  <si>
    <t>1140</t>
  </si>
  <si>
    <t>1141</t>
  </si>
  <si>
    <t>1142</t>
  </si>
  <si>
    <t>1151</t>
  </si>
  <si>
    <t>Забезпечення діяльності інклюзивно-ресурсних центрів за рахунок коштів місцевого бюджету</t>
  </si>
  <si>
    <t>1152</t>
  </si>
  <si>
    <t>Забезпечення діяльності інклюзивно-ресурсних центрів за рахунок освітньої субвенції</t>
  </si>
  <si>
    <t>Забезпечення діяльності центрів професійного розвитку педагогічних працівників</t>
  </si>
  <si>
    <t>Підготовка кадрів закладами професійної (професійно-технічної) освіти та іншими закладами освіти  за рахунок освітньої субвенції</t>
  </si>
  <si>
    <t>Податкові надходження</t>
  </si>
  <si>
    <t>Податки на доходи, податки на прибуток, податки на збільшення ринкової вартості</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</si>
  <si>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</si>
  <si>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</si>
  <si>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</si>
  <si>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</si>
  <si>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 xml:space="preserve">Податок на прибуток підприємств </t>
  </si>
  <si>
    <t>Податок на прибуток підприємств та фінансових  установ  комунальної власності</t>
  </si>
  <si>
    <t>Рентна плата та плата за використання інших природних ресурсів </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</si>
  <si>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</si>
  <si>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</si>
  <si>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</si>
  <si>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</si>
  <si>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</si>
  <si>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</si>
  <si>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</si>
  <si>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</si>
  <si>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Акцизний податок з реалізації суб’єктами господарювання роздрібної торгівлі підакцизних товарів</t>
  </si>
  <si>
    <t xml:space="preserve">Місцеві податки та збори, що сплачуються (перераховуються) згідно з Податковим кодексом України </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</si>
  <si>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</si>
  <si>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</si>
  <si>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</si>
  <si>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 xml:space="preserve"> Податок на нерухоме майно, відмінне від земельної ділянки, сплачений фізичними особами, які є власниками об'єктів нежитлової нерухомості</t>
  </si>
  <si>
    <t xml:space="preserve"> Податок на нерухоме майно, відмінне від земельної ділянки, сплачений  юридичними особами, які є власниками об'єктів нежитлової нерухомості</t>
  </si>
  <si>
    <t xml:space="preserve"> Земельний податок з юридичних осіб  </t>
  </si>
  <si>
    <t>Орендна плата з юридичних осіб  </t>
  </si>
  <si>
    <t>Земельний податок з фізичних осіб  </t>
  </si>
  <si>
    <t>Орендна плата з фізичних осіб  </t>
  </si>
  <si>
    <t>Транспортний податок з фізичних осіб</t>
  </si>
  <si>
    <t>Транспортний податок з юридичних осіб</t>
  </si>
  <si>
    <t>Туристичний збір</t>
  </si>
  <si>
    <t>Туристичний збір, сплачений юридичними особами</t>
  </si>
  <si>
    <t>Туристичний збір, сплачений фізичними особами</t>
  </si>
  <si>
    <t xml:space="preserve">Єдиний податок </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</si>
  <si>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</si>
  <si>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</si>
  <si>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</si>
  <si>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Екологічний податок</t>
  </si>
  <si>
    <t>Неподаткові надходження</t>
  </si>
  <si>
    <t>Доходи від власності та підприємницької діяльності</t>
  </si>
  <si>
    <t>Інші надходження</t>
  </si>
  <si>
    <t>Адміністративні штрафи та інші санкції</t>
  </si>
  <si>
    <t xml:space="preserve">Адміністративні збори та платежі, доходи від некомерційної господарської діяльності </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</si>
  <si>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</si>
  <si>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</si>
  <si>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</si>
  <si>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Адміністративний збір за державну реєстрацію речових прав на нерухоме майно та їх обтяжень</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</si>
  <si>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</si>
  <si>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</si>
  <si>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</si>
  <si>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</si>
  <si>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</si>
  <si>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</si>
  <si>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 
</t>
  </si>
  <si>
    <t>Відсотки за користування  довгостроковим кредитом, що надається з місцевих бюджетів молодим сім'ям та одиноким молодим громадянам на будівництво (реконструкцію) та придбання житла</t>
  </si>
  <si>
    <t>Власні надходження бюджетних установ</t>
  </si>
  <si>
    <t>РАЗОМ ДОХОДІВ</t>
  </si>
  <si>
    <t xml:space="preserve">Офіційні трансферти </t>
  </si>
  <si>
    <t>Субвенції з державного бюджету місцевим бюджетам</t>
  </si>
  <si>
    <t>Освітня субвенція з державного бюджету місцевим бюджетам </t>
  </si>
  <si>
    <t>Субвенції з місцевих бюджетів іншим місцевим бюджетам</t>
  </si>
  <si>
    <t>Субвенція з місцевого бюджету на здійснення переданих видатків у сфері освіти  за рахунок коштів освітньої субвенції</t>
  </si>
  <si>
    <t>41051200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</si>
  <si>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</si>
  <si>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41053900</t>
  </si>
  <si>
    <t>ВСЬОГО ДОХОДІВ</t>
  </si>
  <si>
    <t>1021</t>
  </si>
  <si>
    <t>Усього</t>
  </si>
  <si>
    <t>Зовнішній борг</t>
  </si>
  <si>
    <t>Заборгованість за довгостроковими  зобов"язаннями (позики банків та фінансових установ)</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</si>
  <si>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</si>
  <si>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</si>
  <si>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</si>
  <si>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Кошти, отримані від надання учасниками процедури закупівлі / спрощеної закупівлі як забезпечення їх тендерної пропозиції / пропозиції учасника спрощеної закупівлі, які не підлягають поверненню цим учасникам</t>
  </si>
  <si>
    <t>8240</t>
  </si>
  <si>
    <t>Заходи та роботи з територіальної оборони</t>
  </si>
  <si>
    <t>7000</t>
  </si>
  <si>
    <t xml:space="preserve"> Економічна діяльність</t>
  </si>
  <si>
    <t>Темп зростання/ уповільнення, %</t>
  </si>
  <si>
    <t>Відхилення, тис. грн</t>
  </si>
  <si>
    <t>ВИДАТКОВА ЧАСТИНА ТА КРЕДИТУВАННЯ  БЮДЖЕТУ МИКОЛАЇВСЬКОЇ МІСЬКОЇ ТЕРИТОРІАЛЬНОЇ ГРОМАДИ</t>
  </si>
  <si>
    <t>ДОХІДНА ЧАСТИНА БЮДЖЕТУ МИКОЛАЇВСЬКОЇ МІСЬКОЇ ТЕРИТОРІАЛЬНОЇ ГРОМАДИ</t>
  </si>
  <si>
    <t>ІНФОРМАЦІЯ ПРО СТАН МІСЦЕВОГО БОРГУ БЮДЖЕТУ МИКОЛАЇВСЬКОЇ МІСЬКОЇ ТЕРИТОРІАЛЬНОЇ ГРОМАДИ</t>
  </si>
  <si>
    <t>1102</t>
  </si>
  <si>
    <t>Підготовка кадрів закладами фахової передвищої освіти за рахунок освітньої субвенції</t>
  </si>
  <si>
    <t>Підготовка кадрів закладами фахової передвищої освіти за рахунок коштів місцевого бюджету</t>
  </si>
  <si>
    <t>Адміністративні штрафи за адміністративні правопорушення у сфері забезпечення безпеки дорожнього руху, зафіксовані в автоматичному режимі</t>
  </si>
  <si>
    <t>5049</t>
  </si>
  <si>
    <t>Виконання окремих заходів з реалізації соціального проекту «Активні парки – локації здорової України»</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</si>
  <si>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</si>
  <si>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Податок на доходи фізичних осіб із доходів спеціалістів резидента Дія Сіті</t>
  </si>
  <si>
    <t>Інші дотації з місцевого бюджету</t>
  </si>
  <si>
    <t>Дотації з місцевих бюджетів іншим місцевим бюджетам</t>
  </si>
  <si>
    <t>41057700</t>
  </si>
  <si>
    <t>Надходження коштів пайової участі у розвитку інфраструктури населеного пункту</t>
  </si>
  <si>
    <t>Надання фінансової підтримки громадським об'єднанням ветеранів і осіб з інвалідністю, діяльність яких має соціальну спрямованість</t>
  </si>
  <si>
    <t>Інші видатки на соціальний захист ветеранів війни та праці</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</si>
  <si>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</si>
  <si>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</si>
  <si>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</si>
  <si>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освітньої субвенції</t>
  </si>
  <si>
    <t>Заходи, пов'язані з поліпшенням питної води</t>
  </si>
  <si>
    <t>Податок на доходи фізичних осіб у вигляді мінімального податкового зобов’язання, що підлягає сплаті фізичними особами</t>
  </si>
  <si>
    <t>у 2,3 р.б.</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</si>
  <si>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</si>
  <si>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</si>
  <si>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літакобудування</t>
  </si>
  <si>
    <t>Надходження від орендної плати за користування  майновим комплексом та іншим майном, що перебуває в комунальній власності</t>
  </si>
  <si>
    <t>7330</t>
  </si>
  <si>
    <t>Будівництво  інших об'єктів комунальної власності</t>
  </si>
  <si>
    <t>7350</t>
  </si>
  <si>
    <t>Проектування, реставрація та охорона пам'яток архітектури</t>
  </si>
  <si>
    <t>Розроблення схем планування та забудови територій (містобудівної документації)</t>
  </si>
  <si>
    <t>0170</t>
  </si>
  <si>
    <t>Підвищення кваліфікації депутатів місцевих рад та посадових осіб місцевоо самоврядування</t>
  </si>
  <si>
    <t>1200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</si>
  <si>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</si>
  <si>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</si>
  <si>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</si>
  <si>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8600</t>
  </si>
  <si>
    <t>Обслуговування місцевого боргу</t>
  </si>
  <si>
    <t>9800</t>
  </si>
  <si>
    <t>Субвенція з місцевого бюджету державному бюджету на виконання програм соціально-економічного розвитку регіонів</t>
  </si>
  <si>
    <t>Зовнішнє фінансування</t>
  </si>
  <si>
    <t>у 1,7 р.б.</t>
  </si>
  <si>
    <t>у 1,8 р.б.</t>
  </si>
  <si>
    <t>у 1,6 р.б.</t>
  </si>
  <si>
    <t>Податки та збори, не віднесені до інших категорій</t>
  </si>
  <si>
    <t>Плата за ліцензії на провадження діяльності з організації та проведення азартних ігор у залах гральних автоматів</t>
  </si>
  <si>
    <t>Державне мито, не віднесене до інших категорій</t>
  </si>
  <si>
    <t>Доходи від операцій з капіталом</t>
  </si>
  <si>
    <t>Надходження коштів від Державного фонду дорогоцінних металів і дорогоцінного каміння</t>
  </si>
  <si>
    <t>Субвенція з державного бюджету місцевим бюджетам на облаштування безпечних умов у закладах, що надають загальну середню освіту</t>
  </si>
  <si>
    <t>Субвенція з державного бюджету місцевим бюджетам на створення навчально-практичних центрів сучасної професійної (професійно-технічної) освіти</t>
  </si>
  <si>
    <t>50000000</t>
  </si>
  <si>
    <t>Цільові фонди</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</si>
  <si>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</si>
  <si>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</si>
  <si>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3130</t>
  </si>
  <si>
    <t>3133</t>
  </si>
  <si>
    <t>3140</t>
  </si>
  <si>
    <t>Реалізація державної політики у молодіжній сфері та сфері з утвердження української національної та громадянської ідентичності</t>
  </si>
  <si>
    <t>Інші заходи та заклади молодіжної політики</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</si>
  <si>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</si>
  <si>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</si>
  <si>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7382</t>
  </si>
  <si>
    <t>Реалізація заходів з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</si>
  <si>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</si>
  <si>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встановлення земельного сервітуту, за надання права користування земельною ділянкою для сільськогосподарських потреб (емфітевзис), для забудови (суперфіцій)</t>
  </si>
  <si>
    <t>Податок на доходи фізичних осіб з грошового забезпечення, грошових винагород та інших виплат, одержаних військовослужбовцями, поліцейськими та особами рядового і начальницького складу, що сплачується податковими агентами</t>
  </si>
  <si>
    <t>3220</t>
  </si>
  <si>
    <t>3221</t>
  </si>
  <si>
    <t>3222</t>
  </si>
  <si>
    <t>3223</t>
  </si>
  <si>
    <t>Грошова компенсація за належні для отримання жилі приміщення для окремих категорій населення відповідно до законодавства</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</si>
  <si>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</si>
  <si>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</si>
  <si>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</si>
  <si>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3112</t>
  </si>
  <si>
    <t xml:space="preserve">Заходи державної політики з питань дітей та їх соціального захисту
</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</si>
  <si>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</si>
  <si>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</si>
  <si>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Виконання заходів щодо облаштування безпечних умов у закладах, що надають загальну середню освіту</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</si>
  <si>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</si>
  <si>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Виконання заходів щодо облаштування безпечних умов у закладах, що надають загальну середню освіту, за рахунок субвенції з державного бюджету місцевим бюджетам</t>
  </si>
  <si>
    <t>1260</t>
  </si>
  <si>
    <t>1261</t>
  </si>
  <si>
    <t>1262</t>
  </si>
  <si>
    <t>у 4,2 р.б.</t>
  </si>
  <si>
    <t>Штрафні санкції за порушення законодавства про патентування, за порушення норм регулювання обігу готівки та про застосування реєстраторів розрахункових операцій у сфері торгівлі, громадського харчування та послуг </t>
  </si>
  <si>
    <t>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</si>
  <si>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</si>
  <si>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Цільові фонди, утворені Верховною Радою Автономної Республіки Крим, органами місцевого самоврядування та місцевими органами виконавчої влади</t>
  </si>
  <si>
    <t>Субвенція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</si>
  <si>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41051700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</si>
  <si>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</si>
  <si>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8300</t>
  </si>
  <si>
    <t>Охорона навколишнього природного середовища</t>
  </si>
  <si>
    <t>8310</t>
  </si>
  <si>
    <t>8312</t>
  </si>
  <si>
    <t>Запобігання та ліквідація забруднення навколишнього природного середовища</t>
  </si>
  <si>
    <t>Утилізація відходів</t>
  </si>
  <si>
    <t>8340</t>
  </si>
  <si>
    <t>Природоохоронні звходи за рахунок цільових фондів</t>
  </si>
  <si>
    <t>Виконано за 2023 рік, тис. грн</t>
  </si>
  <si>
    <t>Виконано за 2024 рік, тис. грн</t>
  </si>
  <si>
    <t>Субвенція з державного бюджету місцевим бюджетам на забезпечення харчуванням учнів початкових класів закладів загальної середньої освіти</t>
  </si>
  <si>
    <t>41051400</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</si>
  <si>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</si>
  <si>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3123</t>
  </si>
  <si>
    <t>Заходи державної політики з питань сім'ї</t>
  </si>
  <si>
    <t>Збір за забруднення навколишнього природного середовища  </t>
  </si>
  <si>
    <t>Плата за гарантії, надані Верховною Радою Автономної Республіки Крим, міськими та обласними радами</t>
  </si>
  <si>
    <t>Субвенція з місцевого бюджету за рахунок залишку коштів освітньої субвенції, що утворився на початок бюджетного періоду</t>
  </si>
  <si>
    <t>у 2,0 р.б.</t>
  </si>
  <si>
    <t>у 2,2 р.б.</t>
  </si>
  <si>
    <t>у 12,1 р.б.</t>
  </si>
  <si>
    <t>у 4,6 р.б.</t>
  </si>
  <si>
    <t>у 1,5 р.б.</t>
  </si>
  <si>
    <t>у 4,1 р.б.</t>
  </si>
  <si>
    <t>у 3,3 р.б.</t>
  </si>
  <si>
    <t>у 11,6 р.б.</t>
  </si>
  <si>
    <t>у 15,1 р.б.</t>
  </si>
  <si>
    <t>у 98,3 р.б.</t>
  </si>
  <si>
    <t>у 24,8 р.б.</t>
  </si>
  <si>
    <t>1181</t>
  </si>
  <si>
    <t>1182</t>
  </si>
  <si>
    <t>1180</t>
  </si>
  <si>
    <t>Виконання заходів, спрямованих на забезпечення якісної, сучасної та доступної загальної середньої освіти «Нова українська школа»</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</si>
  <si>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</si>
  <si>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</si>
  <si>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Виконання заходів щодо створення навчально-практичних центрів сучасної професійної (професійно-технічної) освіти</t>
  </si>
  <si>
    <t>Співфінансування заходів, що реалізуються за рахунок субвенції з державного бюджету місцевим бюджетам на створення навчально-практичних центрів сучасної професійної (професійно-технічної) освіти</t>
  </si>
  <si>
    <t>Виконання заходів щодо створення навчально-практичних центрів сучасної професійної (професійно-технічної) освіти за рахунок субвенції з державного бюджету місцевим бюджетам</t>
  </si>
  <si>
    <t>1220</t>
  </si>
  <si>
    <t>1221</t>
  </si>
  <si>
    <t>1222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</si>
  <si>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</si>
  <si>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</si>
  <si>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</si>
  <si>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1240</t>
  </si>
  <si>
    <t>1241</t>
  </si>
  <si>
    <t>1242</t>
  </si>
  <si>
    <t>Виконання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</si>
  <si>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</si>
  <si>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</si>
  <si>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</si>
  <si>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</si>
  <si>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1290</t>
  </si>
  <si>
    <t>1291</t>
  </si>
  <si>
    <t>1292</t>
  </si>
  <si>
    <t>у 2,8 р.б.</t>
  </si>
  <si>
    <t>1272</t>
  </si>
  <si>
    <t>Реалізація заходів за рахунок освітньої субвенції з державного бюджету місцевим бюджетам (за спеціальним фондом державного бюджету)</t>
  </si>
  <si>
    <t>у 23,4 р.б.</t>
  </si>
  <si>
    <t>у 7,0 р.б.</t>
  </si>
  <si>
    <t>у 8,9 р.б.</t>
  </si>
  <si>
    <t>у 8,4 р.б.</t>
  </si>
  <si>
    <t>у 25,2 р.б.</t>
  </si>
  <si>
    <t>у 9,0 р.б.</t>
  </si>
  <si>
    <t>у 3,5 р.6</t>
  </si>
  <si>
    <t>у 24,8 р.б</t>
  </si>
  <si>
    <r>
      <t>Субвенція з місцевого бюджету на виплату грошової компенсації за належні для отримання жилі приміщення для сімей осіб, визначених </t>
    </r>
    <r>
      <rPr>
        <u/>
        <sz val="14"/>
        <rFont val="Times New Roman"/>
        <family val="1"/>
        <charset val="204"/>
      </rPr>
      <t>пунктами 2 - 5</t>
    </r>
    <r>
      <rPr>
        <sz val="14"/>
        <rFont val="Times New Roman"/>
        <family val="1"/>
        <charset val="204"/>
      </rPr>
      <t>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t>
    </r>
    <r>
      <rPr>
        <u/>
        <sz val="14"/>
        <rFont val="Times New Roman"/>
        <family val="1"/>
        <charset val="204"/>
      </rPr>
      <t>пунктами 11 - 14</t>
    </r>
    <r>
      <rPr>
        <sz val="14"/>
        <rFont val="Times New Roman"/>
        <family val="1"/>
        <charset val="204"/>
      </rPr>
      <t>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r>
  </si>
  <si>
    <r>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t>
    </r>
    <r>
      <rPr>
        <u/>
        <sz val="14"/>
        <rFont val="Times New Roman"/>
        <family val="1"/>
        <charset val="204"/>
      </rPr>
      <t>абзаці першому</t>
    </r>
    <r>
      <rPr>
        <sz val="14"/>
        <rFont val="Times New Roman"/>
        <family val="1"/>
        <charset val="204"/>
      </rPr>
      <t>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t>
    </r>
    <r>
      <rPr>
        <u/>
        <sz val="14"/>
        <rFont val="Times New Roman"/>
        <family val="1"/>
        <charset val="204"/>
      </rPr>
      <t>пунктом 7</t>
    </r>
    <r>
      <rPr>
        <sz val="14"/>
        <rFont val="Times New Roman"/>
        <family val="1"/>
        <charset val="204"/>
      </rPr>
      <t>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r>
  </si>
  <si>
    <r>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t>
    </r>
    <r>
      <rPr>
        <u/>
        <sz val="14"/>
        <rFont val="Times New Roman"/>
        <family val="1"/>
        <charset val="204"/>
      </rPr>
      <t>пунктів 11 - 14</t>
    </r>
    <r>
      <rPr>
        <sz val="14"/>
        <rFont val="Times New Roman"/>
        <family val="1"/>
        <charset val="204"/>
      </rPr>
      <t> частини другої статті 7 або учасниками бойових дій відповідно до </t>
    </r>
    <r>
      <rPr>
        <u/>
        <sz val="14"/>
        <rFont val="Times New Roman"/>
        <family val="1"/>
        <charset val="204"/>
      </rPr>
      <t>пунктів 19 - 21</t>
    </r>
    <r>
      <rPr>
        <sz val="14"/>
        <rFont val="Times New Roman"/>
        <family val="1"/>
        <charset val="204"/>
      </rPr>
      <t>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r>
  </si>
  <si>
    <t>410000</t>
  </si>
  <si>
    <t>Заборгованість за довгостроковими зобов'язаннями</t>
  </si>
  <si>
    <t>Внутрішній борг місцевих бюджетів за окремими кодами валют</t>
  </si>
  <si>
    <t>Внутрішній борг в національній валюті</t>
  </si>
  <si>
    <t>в 1,7 р.б.</t>
  </si>
  <si>
    <t>в 2,1 р б</t>
  </si>
  <si>
    <t>в 1,6 р.б.</t>
  </si>
  <si>
    <t>в 1,6р.б.</t>
  </si>
  <si>
    <t>в 1,5 р.б.</t>
  </si>
  <si>
    <t>в 1,9 р.б.</t>
  </si>
  <si>
    <t>в 3,8 р.б.</t>
  </si>
  <si>
    <t>в 4,0 р.б.</t>
  </si>
  <si>
    <t>в 3,2 р.б.</t>
  </si>
  <si>
    <t>в 2,0 р.б.</t>
  </si>
  <si>
    <t>в 8,6 р.б.</t>
  </si>
  <si>
    <t>в 1,8 р.б.</t>
  </si>
  <si>
    <t>в 31,8 р.б.</t>
  </si>
  <si>
    <t>в 2,9 р.б.</t>
  </si>
  <si>
    <t>в 3,4 р.б.</t>
  </si>
  <si>
    <t>6086</t>
  </si>
  <si>
    <t>Додаток 2</t>
  </si>
  <si>
    <t>до пояснювальної записки</t>
  </si>
  <si>
    <t>Інформація про виконання бюджету  Миколаївської міської територіальної громади  за  2024 рік (з динамікою змін порівняно за 2023  рік)</t>
  </si>
</sst>
</file>

<file path=xl/styles.xml><?xml version="1.0" encoding="utf-8"?>
<styleSheet xmlns="http://schemas.openxmlformats.org/spreadsheetml/2006/main">
  <numFmts count="8">
    <numFmt numFmtId="164" formatCode="0.000"/>
    <numFmt numFmtId="165" formatCode="0.0"/>
    <numFmt numFmtId="166" formatCode="0.0_)"/>
    <numFmt numFmtId="167" formatCode="#,##0.000"/>
    <numFmt numFmtId="168" formatCode="#,##0.0"/>
    <numFmt numFmtId="169" formatCode="#,##0.000;\-#,##0.000"/>
    <numFmt numFmtId="170" formatCode="#,##0.000_ ;\-#,##0.000\ "/>
    <numFmt numFmtId="171" formatCode="#,##0.000\ _₴"/>
  </numFmts>
  <fonts count="33">
    <font>
      <sz val="10"/>
      <name val="Arial Cyr"/>
      <charset val="204"/>
    </font>
    <font>
      <sz val="8"/>
      <name val="Arial Cyr"/>
      <charset val="204"/>
    </font>
    <font>
      <sz val="11"/>
      <name val="Arial Cyr"/>
      <charset val="204"/>
    </font>
    <font>
      <sz val="11"/>
      <name val="Times New Roman"/>
      <family val="1"/>
      <charset val="204"/>
    </font>
    <font>
      <b/>
      <sz val="18"/>
      <name val="Times New Roman"/>
      <family val="1"/>
      <charset val="204"/>
    </font>
    <font>
      <b/>
      <sz val="16"/>
      <name val="Times New Roman"/>
      <family val="1"/>
      <charset val="204"/>
    </font>
    <font>
      <sz val="14"/>
      <name val="Times New Roman"/>
      <family val="1"/>
      <charset val="204"/>
    </font>
    <font>
      <b/>
      <sz val="14"/>
      <name val="Times New Roman"/>
      <family val="1"/>
      <charset val="204"/>
    </font>
    <font>
      <b/>
      <sz val="11"/>
      <name val="Arial Cyr"/>
      <charset val="204"/>
    </font>
    <font>
      <b/>
      <sz val="20"/>
      <name val="Times New Roman"/>
      <family val="1"/>
      <charset val="204"/>
    </font>
    <font>
      <sz val="14"/>
      <name val="Arial Cyr"/>
      <charset val="204"/>
    </font>
    <font>
      <i/>
      <sz val="14"/>
      <name val="Times New Roman"/>
      <family val="1"/>
      <charset val="204"/>
    </font>
    <font>
      <b/>
      <sz val="22"/>
      <name val="Times New Roman"/>
      <family val="1"/>
      <charset val="204"/>
    </font>
    <font>
      <sz val="20"/>
      <name val="Times New Roman"/>
      <family val="1"/>
      <charset val="204"/>
    </font>
    <font>
      <i/>
      <sz val="11"/>
      <name val="Arial Cyr"/>
      <charset val="204"/>
    </font>
    <font>
      <b/>
      <sz val="14"/>
      <name val="Arial Cyr"/>
      <charset val="204"/>
    </font>
    <font>
      <b/>
      <sz val="10"/>
      <name val="Times New Roman"/>
      <family val="1"/>
      <charset val="204"/>
    </font>
    <font>
      <sz val="10"/>
      <name val="Times New Roman"/>
      <family val="1"/>
      <charset val="204"/>
    </font>
    <font>
      <sz val="14"/>
      <color rgb="FF333333"/>
      <name val="Times New Roman"/>
      <family val="1"/>
      <charset val="204"/>
    </font>
    <font>
      <sz val="14"/>
      <color theme="1"/>
      <name val="Arial Cyr"/>
      <charset val="204"/>
    </font>
    <font>
      <sz val="14"/>
      <color rgb="FF000000"/>
      <name val="Times New Roman"/>
      <family val="1"/>
      <charset val="204"/>
    </font>
    <font>
      <sz val="14"/>
      <color theme="1"/>
      <name val="Times New Roman"/>
      <family val="1"/>
      <charset val="204"/>
    </font>
    <font>
      <i/>
      <sz val="14"/>
      <color rgb="FF000000"/>
      <name val="Times New Roman"/>
      <family val="1"/>
      <charset val="204"/>
    </font>
    <font>
      <sz val="10"/>
      <color rgb="FF333333"/>
      <name val="Times New Roman"/>
      <family val="1"/>
      <charset val="204"/>
    </font>
    <font>
      <b/>
      <sz val="14"/>
      <name val="Times New Roman"/>
      <family val="1"/>
      <charset val="204"/>
    </font>
    <font>
      <sz val="14"/>
      <color rgb="FF000000"/>
      <name val="Times New Roman"/>
      <family val="1"/>
      <charset val="204"/>
    </font>
    <font>
      <b/>
      <sz val="14"/>
      <color rgb="FF000000"/>
      <name val="Times New Roman"/>
      <family val="1"/>
      <charset val="204"/>
    </font>
    <font>
      <b/>
      <i/>
      <sz val="5"/>
      <color rgb="FF000000"/>
      <name val="Times New Roman"/>
      <family val="1"/>
      <charset val="204"/>
    </font>
    <font>
      <b/>
      <sz val="6"/>
      <color rgb="FF000000"/>
      <name val="Times New Roman"/>
      <family val="1"/>
      <charset val="204"/>
    </font>
    <font>
      <sz val="12"/>
      <color rgb="FF000000"/>
      <name val="Times New Roman"/>
      <family val="1"/>
      <charset val="204"/>
    </font>
    <font>
      <u/>
      <sz val="14"/>
      <name val="Times New Roman"/>
      <family val="1"/>
      <charset val="204"/>
    </font>
    <font>
      <b/>
      <sz val="7"/>
      <color rgb="FF000000"/>
      <name val="Times New Roman"/>
      <family val="1"/>
      <charset val="204"/>
    </font>
    <font>
      <b/>
      <sz val="16"/>
      <color rgb="FF00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s>
  <cellStyleXfs count="1">
    <xf numFmtId="0" fontId="0" fillId="0" borderId="0"/>
  </cellStyleXfs>
  <cellXfs count="212">
    <xf numFmtId="0" fontId="0" fillId="0" borderId="0" xfId="0"/>
    <xf numFmtId="0" fontId="3" fillId="2" borderId="0" xfId="0" applyFont="1" applyFill="1" applyAlignment="1">
      <alignment horizontal="right"/>
    </xf>
    <xf numFmtId="0" fontId="3" fillId="2" borderId="0" xfId="0" applyFont="1" applyFill="1" applyAlignment="1">
      <alignment wrapText="1"/>
    </xf>
    <xf numFmtId="167" fontId="3" fillId="2" borderId="0" xfId="0" applyNumberFormat="1" applyFont="1" applyFill="1"/>
    <xf numFmtId="167" fontId="6" fillId="2" borderId="0" xfId="0" applyNumberFormat="1" applyFont="1" applyFill="1"/>
    <xf numFmtId="165" fontId="6" fillId="2" borderId="0" xfId="0" applyNumberFormat="1" applyFont="1" applyFill="1" applyAlignment="1">
      <alignment horizontal="right"/>
    </xf>
    <xf numFmtId="0" fontId="2" fillId="2" borderId="0" xfId="0" applyFont="1" applyFill="1"/>
    <xf numFmtId="0" fontId="14" fillId="2" borderId="0" xfId="0" applyFont="1" applyFill="1"/>
    <xf numFmtId="165" fontId="3" fillId="2" borderId="0" xfId="0" applyNumberFormat="1" applyFont="1" applyFill="1" applyAlignment="1">
      <alignment horizontal="right"/>
    </xf>
    <xf numFmtId="0" fontId="2" fillId="0" borderId="0" xfId="0" applyFont="1" applyFill="1"/>
    <xf numFmtId="0" fontId="3" fillId="0" borderId="0" xfId="0" applyFont="1" applyFill="1" applyAlignment="1">
      <alignment horizontal="right"/>
    </xf>
    <xf numFmtId="0" fontId="3" fillId="0" borderId="0" xfId="0" applyFont="1" applyFill="1" applyAlignment="1">
      <alignment wrapText="1"/>
    </xf>
    <xf numFmtId="167" fontId="3" fillId="0" borderId="0" xfId="0" applyNumberFormat="1" applyFont="1" applyFill="1"/>
    <xf numFmtId="167" fontId="6" fillId="0" borderId="0" xfId="0" applyNumberFormat="1" applyFont="1" applyFill="1"/>
    <xf numFmtId="165" fontId="6" fillId="0" borderId="0" xfId="0" applyNumberFormat="1" applyFont="1" applyFill="1" applyAlignment="1">
      <alignment horizontal="right"/>
    </xf>
    <xf numFmtId="0" fontId="6" fillId="0" borderId="0" xfId="0" applyFont="1" applyFill="1" applyAlignment="1">
      <alignment horizontal="left" wrapText="1"/>
    </xf>
    <xf numFmtId="0" fontId="9"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165" fontId="9" fillId="0" borderId="0" xfId="0" applyNumberFormat="1" applyFont="1" applyFill="1" applyBorder="1" applyAlignment="1">
      <alignment horizontal="center" vertical="center" wrapText="1"/>
    </xf>
    <xf numFmtId="167" fontId="7"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8" fillId="0" borderId="0" xfId="0" applyFont="1" applyFill="1"/>
    <xf numFmtId="0" fontId="16" fillId="0" borderId="1" xfId="0"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0" xfId="0" applyFont="1" applyFill="1"/>
    <xf numFmtId="0" fontId="14" fillId="0" borderId="0" xfId="0" applyFont="1" applyFill="1"/>
    <xf numFmtId="165" fontId="3" fillId="0" borderId="0" xfId="0" applyNumberFormat="1" applyFont="1" applyFill="1" applyAlignment="1">
      <alignment horizontal="right"/>
    </xf>
    <xf numFmtId="0" fontId="10" fillId="0" borderId="0" xfId="0" applyFont="1" applyFill="1"/>
    <xf numFmtId="0" fontId="6" fillId="0" borderId="0" xfId="0" applyFont="1" applyFill="1"/>
    <xf numFmtId="0" fontId="19" fillId="0" borderId="0" xfId="0" applyFont="1" applyFill="1"/>
    <xf numFmtId="0" fontId="15" fillId="0" borderId="0" xfId="0" applyFont="1" applyFill="1"/>
    <xf numFmtId="0" fontId="7" fillId="0" borderId="0" xfId="0" applyFont="1" applyFill="1"/>
    <xf numFmtId="167" fontId="6" fillId="0" borderId="1" xfId="0" applyNumberFormat="1" applyFont="1" applyFill="1" applyBorder="1" applyAlignment="1">
      <alignment vertical="center"/>
    </xf>
    <xf numFmtId="167" fontId="6" fillId="0" borderId="1" xfId="0" applyNumberFormat="1" applyFont="1" applyFill="1" applyBorder="1" applyAlignment="1" applyProtection="1">
      <alignment horizontal="right" vertical="center"/>
    </xf>
    <xf numFmtId="167" fontId="6" fillId="0" borderId="1" xfId="0" applyNumberFormat="1" applyFont="1" applyFill="1" applyBorder="1" applyAlignment="1">
      <alignment horizontal="right" vertical="center"/>
    </xf>
    <xf numFmtId="167" fontId="7" fillId="0" borderId="1" xfId="0" applyNumberFormat="1" applyFont="1" applyFill="1" applyBorder="1" applyAlignment="1">
      <alignment vertical="center"/>
    </xf>
    <xf numFmtId="49" fontId="6" fillId="0" borderId="1" xfId="0" applyNumberFormat="1" applyFont="1" applyFill="1" applyBorder="1" applyAlignment="1" applyProtection="1">
      <alignment horizontal="center" vertical="top"/>
    </xf>
    <xf numFmtId="0" fontId="6" fillId="0" borderId="1" xfId="0" applyFont="1" applyFill="1" applyBorder="1" applyAlignment="1">
      <alignment wrapText="1"/>
    </xf>
    <xf numFmtId="49" fontId="6" fillId="0" borderId="1" xfId="0" applyNumberFormat="1" applyFont="1" applyFill="1" applyBorder="1" applyAlignment="1" applyProtection="1">
      <alignment horizontal="center" vertical="top"/>
      <protection locked="0"/>
    </xf>
    <xf numFmtId="49"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lignment vertical="center" wrapText="1"/>
    </xf>
    <xf numFmtId="49" fontId="5" fillId="0" borderId="1" xfId="0" applyNumberFormat="1" applyFont="1" applyFill="1" applyBorder="1" applyAlignment="1" applyProtection="1">
      <alignment horizontal="center" vertical="top"/>
    </xf>
    <xf numFmtId="166" fontId="5" fillId="0" borderId="1" xfId="0" applyNumberFormat="1" applyFont="1" applyFill="1" applyBorder="1" applyAlignment="1" applyProtection="1">
      <alignment horizontal="left" vertical="top" wrapText="1"/>
      <protection locked="0"/>
    </xf>
    <xf numFmtId="49" fontId="5" fillId="3"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6" fillId="3" borderId="1" xfId="0" applyNumberFormat="1" applyFont="1" applyFill="1" applyBorder="1" applyAlignment="1" applyProtection="1">
      <alignment horizontal="center" vertical="center" wrapText="1"/>
    </xf>
    <xf numFmtId="0" fontId="6" fillId="3" borderId="1" xfId="0" applyNumberFormat="1" applyFont="1" applyFill="1" applyBorder="1" applyAlignment="1" applyProtection="1">
      <alignment vertical="center" wrapText="1"/>
    </xf>
    <xf numFmtId="166" fontId="6" fillId="3" borderId="1" xfId="0" applyNumberFormat="1" applyFont="1" applyFill="1" applyBorder="1" applyAlignment="1" applyProtection="1">
      <alignment horizontal="left" vertical="center" wrapText="1"/>
      <protection locked="0"/>
    </xf>
    <xf numFmtId="0" fontId="6" fillId="3" borderId="1" xfId="0" applyFont="1" applyFill="1" applyBorder="1" applyAlignment="1">
      <alignment vertical="center" wrapText="1"/>
    </xf>
    <xf numFmtId="0" fontId="6" fillId="3" borderId="1" xfId="0" applyFont="1" applyFill="1" applyBorder="1" applyAlignment="1">
      <alignment horizontal="left" vertical="center" wrapText="1"/>
    </xf>
    <xf numFmtId="49" fontId="6" fillId="3" borderId="1" xfId="0" applyNumberFormat="1" applyFont="1" applyFill="1" applyBorder="1" applyAlignment="1" applyProtection="1">
      <alignment horizontal="center" vertical="top"/>
      <protection locked="0"/>
    </xf>
    <xf numFmtId="0" fontId="18" fillId="3" borderId="5" xfId="0" applyFont="1" applyFill="1" applyBorder="1" applyAlignment="1">
      <alignment horizontal="left" vertical="center"/>
    </xf>
    <xf numFmtId="0" fontId="6" fillId="3" borderId="3" xfId="0" applyNumberFormat="1" applyFont="1" applyFill="1" applyBorder="1" applyAlignment="1" applyProtection="1">
      <alignment horizontal="center" vertical="center" wrapText="1"/>
    </xf>
    <xf numFmtId="0" fontId="18" fillId="3" borderId="1" xfId="0" applyFont="1" applyFill="1" applyBorder="1" applyAlignment="1">
      <alignment horizontal="left" vertical="top" wrapText="1"/>
    </xf>
    <xf numFmtId="0" fontId="18" fillId="3" borderId="6" xfId="0" applyFont="1" applyFill="1" applyBorder="1" applyAlignment="1">
      <alignment horizontal="left" vertical="center"/>
    </xf>
    <xf numFmtId="0" fontId="20" fillId="3" borderId="2" xfId="0" applyFont="1" applyFill="1" applyBorder="1" applyAlignment="1">
      <alignment horizontal="left" vertical="center" wrapText="1"/>
    </xf>
    <xf numFmtId="49" fontId="5" fillId="3" borderId="1" xfId="0" applyNumberFormat="1" applyFont="1" applyFill="1" applyBorder="1" applyAlignment="1" applyProtection="1">
      <alignment horizontal="center" vertical="center"/>
      <protection locked="0"/>
    </xf>
    <xf numFmtId="49" fontId="7" fillId="3" borderId="1" xfId="0" applyNumberFormat="1" applyFont="1" applyFill="1" applyBorder="1" applyAlignment="1" applyProtection="1">
      <alignment horizontal="center" wrapText="1"/>
      <protection locked="0"/>
    </xf>
    <xf numFmtId="0" fontId="5" fillId="3" borderId="1" xfId="0" applyFont="1" applyFill="1" applyBorder="1" applyAlignment="1">
      <alignment wrapText="1"/>
    </xf>
    <xf numFmtId="49" fontId="5" fillId="3" borderId="1" xfId="0" applyNumberFormat="1" applyFont="1" applyFill="1" applyBorder="1" applyAlignment="1" applyProtection="1">
      <alignment horizontal="center" vertical="top"/>
      <protection locked="0"/>
    </xf>
    <xf numFmtId="0" fontId="5" fillId="3" borderId="1" xfId="0" applyFont="1" applyFill="1" applyBorder="1" applyAlignment="1">
      <alignment horizontal="left" vertical="top" wrapText="1"/>
    </xf>
    <xf numFmtId="0" fontId="6" fillId="3" borderId="1" xfId="0" applyFont="1" applyFill="1" applyBorder="1" applyAlignment="1">
      <alignment vertical="top" wrapText="1"/>
    </xf>
    <xf numFmtId="171" fontId="6" fillId="0" borderId="1" xfId="0" applyNumberFormat="1" applyFont="1" applyFill="1" applyBorder="1" applyAlignment="1">
      <alignment horizontal="right" vertical="center"/>
    </xf>
    <xf numFmtId="49" fontId="7" fillId="3" borderId="1" xfId="0" applyNumberFormat="1" applyFont="1" applyFill="1" applyBorder="1" applyAlignment="1" applyProtection="1">
      <alignment horizontal="center" vertical="center"/>
      <protection locked="0"/>
    </xf>
    <xf numFmtId="49" fontId="6" fillId="3" borderId="1" xfId="0" applyNumberFormat="1" applyFont="1" applyFill="1" applyBorder="1" applyAlignment="1" applyProtection="1">
      <alignment horizontal="center" vertical="center" wrapText="1"/>
    </xf>
    <xf numFmtId="0" fontId="6" fillId="3" borderId="1" xfId="0" applyNumberFormat="1" applyFont="1" applyFill="1" applyBorder="1" applyAlignment="1">
      <alignment horizontal="left" vertical="top" wrapText="1"/>
    </xf>
    <xf numFmtId="49" fontId="6" fillId="3" borderId="1" xfId="0" applyNumberFormat="1" applyFont="1" applyFill="1" applyBorder="1" applyAlignment="1" applyProtection="1">
      <alignment horizontal="center" wrapText="1"/>
      <protection locked="0"/>
    </xf>
    <xf numFmtId="0" fontId="6" fillId="3" borderId="1" xfId="0" applyFont="1" applyFill="1" applyBorder="1" applyAlignment="1">
      <alignment wrapText="1"/>
    </xf>
    <xf numFmtId="0" fontId="6" fillId="3" borderId="1" xfId="0" applyFont="1" applyFill="1" applyBorder="1"/>
    <xf numFmtId="49" fontId="5" fillId="3" borderId="1" xfId="0" applyNumberFormat="1" applyFont="1" applyFill="1" applyBorder="1" applyAlignment="1" applyProtection="1">
      <alignment horizontal="center" wrapText="1"/>
      <protection locked="0"/>
    </xf>
    <xf numFmtId="0" fontId="6" fillId="3" borderId="1" xfId="0" applyFont="1" applyFill="1" applyBorder="1" applyAlignment="1">
      <alignment horizontal="justify" wrapText="1"/>
    </xf>
    <xf numFmtId="166" fontId="6" fillId="0" borderId="1" xfId="0" applyNumberFormat="1" applyFont="1" applyFill="1" applyBorder="1" applyAlignment="1" applyProtection="1">
      <alignment horizontal="left" vertical="center" wrapText="1"/>
      <protection locked="0"/>
    </xf>
    <xf numFmtId="166" fontId="5" fillId="0" borderId="1" xfId="0" applyNumberFormat="1" applyFont="1" applyFill="1" applyBorder="1" applyAlignment="1" applyProtection="1">
      <alignment horizontal="left" vertical="top" wrapText="1"/>
    </xf>
    <xf numFmtId="166" fontId="6" fillId="0" borderId="1" xfId="0" applyNumberFormat="1" applyFont="1" applyFill="1" applyBorder="1" applyAlignment="1" applyProtection="1">
      <alignment horizontal="left" vertical="top" wrapText="1"/>
      <protection locked="0"/>
    </xf>
    <xf numFmtId="49"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18" fillId="0" borderId="0" xfId="0" applyFont="1" applyFill="1" applyAlignment="1">
      <alignment horizontal="left" vertical="center" wrapText="1"/>
    </xf>
    <xf numFmtId="164" fontId="22" fillId="0" borderId="2" xfId="0" applyNumberFormat="1" applyFont="1" applyFill="1" applyBorder="1" applyAlignment="1">
      <alignment horizontal="right" vertical="center" wrapText="1"/>
    </xf>
    <xf numFmtId="164" fontId="20" fillId="0" borderId="2" xfId="0" applyNumberFormat="1" applyFont="1" applyFill="1" applyBorder="1" applyAlignment="1">
      <alignment horizontal="right" vertical="center" wrapText="1"/>
    </xf>
    <xf numFmtId="164" fontId="26" fillId="0" borderId="0" xfId="0" applyNumberFormat="1" applyFont="1" applyFill="1" applyBorder="1" applyAlignment="1">
      <alignment horizontal="right" vertical="center" wrapText="1"/>
    </xf>
    <xf numFmtId="167" fontId="21" fillId="0" borderId="1" xfId="0" applyNumberFormat="1" applyFont="1" applyFill="1" applyBorder="1" applyAlignment="1">
      <alignment horizontal="right" vertical="center"/>
    </xf>
    <xf numFmtId="164" fontId="6" fillId="0" borderId="1"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167" fontId="7" fillId="0" borderId="1" xfId="0" applyNumberFormat="1" applyFont="1" applyFill="1" applyBorder="1" applyAlignment="1" applyProtection="1">
      <alignment horizontal="right" vertical="center" wrapText="1"/>
    </xf>
    <xf numFmtId="168" fontId="7" fillId="0" borderId="1" xfId="0" applyNumberFormat="1" applyFont="1" applyFill="1" applyBorder="1" applyAlignment="1" applyProtection="1">
      <alignment horizontal="right" vertical="center" wrapText="1"/>
    </xf>
    <xf numFmtId="167" fontId="6" fillId="0" borderId="1" xfId="0" applyNumberFormat="1" applyFont="1" applyFill="1" applyBorder="1" applyAlignment="1" applyProtection="1">
      <alignment horizontal="right" vertical="center" wrapText="1"/>
    </xf>
    <xf numFmtId="168" fontId="6" fillId="0" borderId="1" xfId="0" applyNumberFormat="1" applyFont="1" applyFill="1" applyBorder="1" applyAlignment="1" applyProtection="1">
      <alignment horizontal="right" vertical="center" wrapText="1"/>
    </xf>
    <xf numFmtId="165" fontId="6" fillId="0" borderId="1" xfId="0" applyNumberFormat="1" applyFont="1" applyFill="1" applyBorder="1" applyAlignment="1" applyProtection="1">
      <alignment horizontal="right" vertical="center" wrapText="1"/>
    </xf>
    <xf numFmtId="167" fontId="21" fillId="0" borderId="1" xfId="0" applyNumberFormat="1" applyFont="1" applyFill="1" applyBorder="1" applyAlignment="1" applyProtection="1">
      <alignment horizontal="right" vertical="center" wrapText="1"/>
    </xf>
    <xf numFmtId="165" fontId="24" fillId="0" borderId="1" xfId="0" applyNumberFormat="1" applyFont="1" applyFill="1" applyBorder="1" applyAlignment="1" applyProtection="1">
      <alignment horizontal="right" vertical="center" wrapText="1"/>
    </xf>
    <xf numFmtId="165" fontId="7" fillId="0" borderId="1" xfId="0" applyNumberFormat="1" applyFont="1" applyFill="1" applyBorder="1" applyAlignment="1" applyProtection="1">
      <alignment horizontal="right" vertical="center" wrapText="1"/>
    </xf>
    <xf numFmtId="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wrapText="1"/>
    </xf>
    <xf numFmtId="167" fontId="7" fillId="0" borderId="1" xfId="0" applyNumberFormat="1" applyFont="1" applyFill="1" applyBorder="1"/>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167" fontId="7" fillId="0" borderId="1" xfId="0" applyNumberFormat="1" applyFont="1" applyFill="1" applyBorder="1" applyAlignment="1">
      <alignment horizontal="center" vertical="top" wrapText="1"/>
    </xf>
    <xf numFmtId="165" fontId="7" fillId="0" borderId="1" xfId="0" applyNumberFormat="1" applyFont="1" applyFill="1" applyBorder="1" applyAlignment="1">
      <alignment horizontal="center" vertical="top" wrapText="1"/>
    </xf>
    <xf numFmtId="0" fontId="5" fillId="0" borderId="1" xfId="0" applyFont="1" applyFill="1" applyBorder="1" applyAlignment="1">
      <alignment horizontal="center"/>
    </xf>
    <xf numFmtId="0" fontId="5" fillId="0" borderId="1" xfId="0" applyFont="1" applyFill="1" applyBorder="1" applyAlignment="1">
      <alignment wrapText="1"/>
    </xf>
    <xf numFmtId="165" fontId="6" fillId="0" borderId="1" xfId="0" applyNumberFormat="1" applyFont="1" applyFill="1" applyBorder="1" applyAlignment="1">
      <alignment horizontal="right" vertical="center"/>
    </xf>
    <xf numFmtId="167" fontId="7" fillId="0" borderId="1" xfId="0" applyNumberFormat="1" applyFont="1" applyFill="1" applyBorder="1" applyAlignment="1"/>
    <xf numFmtId="0" fontId="6" fillId="0" borderId="1" xfId="0" applyFont="1" applyFill="1" applyBorder="1" applyAlignment="1">
      <alignment horizontal="center"/>
    </xf>
    <xf numFmtId="0" fontId="6" fillId="0" borderId="1" xfId="0" applyFont="1" applyFill="1" applyBorder="1" applyAlignment="1">
      <alignment vertical="top" wrapText="1"/>
    </xf>
    <xf numFmtId="167" fontId="6" fillId="0" borderId="1" xfId="0" applyNumberFormat="1" applyFont="1" applyFill="1" applyBorder="1" applyAlignment="1"/>
    <xf numFmtId="170" fontId="20" fillId="0" borderId="2" xfId="0" applyNumberFormat="1" applyFont="1" applyFill="1" applyBorder="1" applyAlignment="1">
      <alignment horizontal="right" vertical="center" wrapText="1"/>
    </xf>
    <xf numFmtId="0" fontId="3" fillId="0" borderId="1" xfId="0" applyFont="1" applyFill="1" applyBorder="1" applyAlignment="1">
      <alignment horizontal="center"/>
    </xf>
    <xf numFmtId="167" fontId="6" fillId="0" borderId="1" xfId="0" applyNumberFormat="1" applyFont="1" applyFill="1" applyBorder="1"/>
    <xf numFmtId="165" fontId="6" fillId="0" borderId="1" xfId="0" applyNumberFormat="1" applyFont="1" applyFill="1" applyBorder="1" applyAlignment="1">
      <alignment horizontal="right"/>
    </xf>
    <xf numFmtId="0" fontId="3" fillId="0" borderId="0" xfId="0" applyFont="1" applyFill="1" applyAlignment="1">
      <alignment horizontal="center"/>
    </xf>
    <xf numFmtId="49" fontId="5" fillId="0" borderId="1" xfId="0" applyNumberFormat="1" applyFont="1" applyFill="1" applyBorder="1" applyAlignment="1" applyProtection="1">
      <alignment horizontal="center" vertical="top"/>
      <protection locked="0"/>
    </xf>
    <xf numFmtId="0" fontId="6" fillId="0" borderId="1" xfId="0" applyNumberFormat="1" applyFont="1" applyFill="1" applyBorder="1" applyAlignment="1" applyProtection="1">
      <alignment horizontal="left" vertical="top" wrapText="1"/>
    </xf>
    <xf numFmtId="0" fontId="18" fillId="0" borderId="0" xfId="0" applyFont="1" applyFill="1"/>
    <xf numFmtId="0" fontId="25" fillId="0" borderId="2" xfId="0" applyFont="1" applyFill="1" applyBorder="1" applyAlignment="1">
      <alignment horizontal="left" vertical="center" wrapText="1"/>
    </xf>
    <xf numFmtId="0" fontId="20" fillId="0" borderId="0" xfId="0" applyFont="1" applyFill="1" applyAlignment="1">
      <alignment horizontal="left" vertical="center" wrapText="1"/>
    </xf>
    <xf numFmtId="0" fontId="20" fillId="0" borderId="2"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9" fillId="4" borderId="2" xfId="0" applyFont="1" applyFill="1" applyBorder="1" applyAlignment="1">
      <alignment horizontal="left" vertical="center" wrapText="1"/>
    </xf>
    <xf numFmtId="0" fontId="5" fillId="0" borderId="1" xfId="0" applyFont="1" applyFill="1" applyBorder="1" applyAlignment="1">
      <alignment horizontal="center"/>
    </xf>
    <xf numFmtId="0" fontId="5"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protection locked="0"/>
    </xf>
    <xf numFmtId="0" fontId="6" fillId="0" borderId="1" xfId="0" applyNumberFormat="1" applyFont="1" applyFill="1" applyBorder="1" applyAlignment="1">
      <alignment vertical="top" wrapText="1"/>
    </xf>
    <xf numFmtId="49" fontId="7" fillId="0" borderId="1" xfId="0" applyNumberFormat="1" applyFont="1" applyFill="1" applyBorder="1" applyAlignment="1" applyProtection="1">
      <alignment horizontal="center" vertical="top"/>
      <protection locked="0"/>
    </xf>
    <xf numFmtId="0" fontId="7" fillId="0" borderId="1" xfId="0" applyNumberFormat="1" applyFont="1" applyFill="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166" fontId="6" fillId="0" borderId="1" xfId="0" applyNumberFormat="1" applyFont="1" applyFill="1" applyBorder="1" applyAlignment="1" applyProtection="1">
      <alignment horizontal="left" wrapText="1"/>
      <protection locked="0"/>
    </xf>
    <xf numFmtId="2" fontId="6" fillId="0" borderId="1" xfId="0" applyNumberFormat="1" applyFont="1" applyFill="1" applyBorder="1" applyAlignment="1">
      <alignment wrapText="1"/>
    </xf>
    <xf numFmtId="165" fontId="7" fillId="0" borderId="1" xfId="0" applyNumberFormat="1" applyFont="1" applyFill="1" applyBorder="1" applyAlignment="1">
      <alignment horizontal="right" vertical="center"/>
    </xf>
    <xf numFmtId="0" fontId="6" fillId="0" borderId="1" xfId="0" applyNumberFormat="1" applyFont="1" applyFill="1" applyBorder="1" applyAlignment="1" applyProtection="1">
      <alignment vertical="top" wrapText="1"/>
    </xf>
    <xf numFmtId="166" fontId="6" fillId="0" borderId="1" xfId="0" applyNumberFormat="1" applyFont="1" applyFill="1" applyBorder="1" applyAlignment="1" applyProtection="1">
      <alignment vertical="top" wrapText="1"/>
      <protection locked="0"/>
    </xf>
    <xf numFmtId="0" fontId="6" fillId="0" borderId="1" xfId="0" applyFont="1" applyFill="1" applyBorder="1" applyAlignment="1">
      <alignment horizontal="left" vertical="top" wrapText="1"/>
    </xf>
    <xf numFmtId="0" fontId="20" fillId="0" borderId="1" xfId="0" applyFont="1" applyFill="1" applyBorder="1" applyAlignment="1">
      <alignment horizontal="left" vertical="center" wrapText="1"/>
    </xf>
    <xf numFmtId="0" fontId="20" fillId="0" borderId="7" xfId="0" applyFont="1" applyFill="1" applyBorder="1" applyAlignment="1">
      <alignment horizontal="left" vertical="center" wrapText="1"/>
    </xf>
    <xf numFmtId="49" fontId="5"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18" fillId="0" borderId="0" xfId="0" applyFont="1" applyFill="1" applyAlignment="1">
      <alignment vertical="center" wrapText="1"/>
    </xf>
    <xf numFmtId="0" fontId="21" fillId="0" borderId="1" xfId="0" applyFont="1" applyFill="1" applyBorder="1" applyAlignment="1">
      <alignment horizontal="center" vertical="center"/>
    </xf>
    <xf numFmtId="0" fontId="21" fillId="0" borderId="0" xfId="0" applyFont="1" applyFill="1" applyAlignment="1">
      <alignment vertical="top"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26" fillId="0" borderId="0" xfId="0" applyFont="1" applyFill="1" applyBorder="1" applyAlignment="1">
      <alignment horizontal="left" vertical="center" wrapText="1"/>
    </xf>
    <xf numFmtId="49" fontId="6" fillId="0" borderId="1" xfId="0" applyNumberFormat="1" applyFont="1" applyFill="1" applyBorder="1" applyAlignment="1">
      <alignment horizontal="left" vertical="top" wrapText="1"/>
    </xf>
    <xf numFmtId="0" fontId="5" fillId="0" borderId="1" xfId="0" applyFont="1" applyFill="1" applyBorder="1" applyAlignment="1">
      <alignment horizontal="center"/>
    </xf>
    <xf numFmtId="168" fontId="6" fillId="3" borderId="1" xfId="0" applyNumberFormat="1" applyFont="1" applyFill="1" applyBorder="1" applyAlignment="1" applyProtection="1">
      <alignment horizontal="right" vertical="center" wrapText="1"/>
    </xf>
    <xf numFmtId="167" fontId="7" fillId="0" borderId="1" xfId="0" applyNumberFormat="1" applyFont="1" applyFill="1" applyBorder="1" applyAlignment="1">
      <alignment horizontal="right" vertical="center"/>
    </xf>
    <xf numFmtId="0" fontId="20" fillId="0" borderId="2" xfId="0" applyNumberFormat="1" applyFont="1" applyFill="1" applyBorder="1" applyAlignment="1">
      <alignment horizontal="right" vertical="center" wrapText="1"/>
    </xf>
    <xf numFmtId="0" fontId="15" fillId="0" borderId="1" xfId="0" applyFont="1" applyFill="1" applyBorder="1" applyAlignment="1">
      <alignment horizontal="right"/>
    </xf>
    <xf numFmtId="0" fontId="10" fillId="0" borderId="1" xfId="0" applyFont="1" applyFill="1" applyBorder="1" applyAlignment="1">
      <alignment horizontal="right"/>
    </xf>
    <xf numFmtId="167" fontId="6" fillId="0" borderId="1" xfId="0" applyNumberFormat="1" applyFont="1" applyFill="1" applyBorder="1" applyAlignment="1" applyProtection="1">
      <alignment horizontal="right"/>
    </xf>
    <xf numFmtId="167" fontId="6" fillId="0" borderId="1" xfId="0" applyNumberFormat="1" applyFont="1" applyFill="1" applyBorder="1" applyAlignment="1">
      <alignment horizontal="right" vertical="top"/>
    </xf>
    <xf numFmtId="167" fontId="11" fillId="0" borderId="1" xfId="0" applyNumberFormat="1" applyFont="1" applyFill="1" applyBorder="1" applyAlignment="1">
      <alignment horizontal="right" vertical="center"/>
    </xf>
    <xf numFmtId="167" fontId="11" fillId="0" borderId="1" xfId="0" applyNumberFormat="1" applyFont="1" applyFill="1" applyBorder="1" applyAlignment="1" applyProtection="1">
      <alignment horizontal="right" vertical="center" wrapText="1"/>
    </xf>
    <xf numFmtId="167" fontId="6" fillId="0" borderId="1" xfId="0" applyNumberFormat="1" applyFont="1" applyFill="1" applyBorder="1" applyAlignment="1">
      <alignment horizontal="right" vertical="center" wrapText="1"/>
    </xf>
    <xf numFmtId="167" fontId="25" fillId="0" borderId="1" xfId="0" applyNumberFormat="1" applyFont="1" applyFill="1" applyBorder="1" applyAlignment="1">
      <alignment horizontal="right" vertical="center"/>
    </xf>
    <xf numFmtId="0" fontId="28" fillId="4" borderId="2" xfId="0" applyFont="1" applyFill="1" applyBorder="1" applyAlignment="1">
      <alignment horizontal="right" vertical="center" wrapText="1"/>
    </xf>
    <xf numFmtId="0" fontId="27" fillId="4" borderId="2" xfId="0" applyFont="1" applyFill="1" applyBorder="1" applyAlignment="1">
      <alignment horizontal="right" vertical="center" wrapText="1"/>
    </xf>
    <xf numFmtId="0" fontId="27" fillId="0" borderId="2" xfId="0" applyNumberFormat="1" applyFont="1" applyFill="1" applyBorder="1" applyAlignment="1">
      <alignment horizontal="right" vertical="center" wrapText="1"/>
    </xf>
    <xf numFmtId="165" fontId="6" fillId="0" borderId="1" xfId="0" applyNumberFormat="1" applyFont="1" applyFill="1" applyBorder="1" applyAlignment="1">
      <alignment horizontal="right" vertical="center" wrapText="1"/>
    </xf>
    <xf numFmtId="0" fontId="20" fillId="0" borderId="2" xfId="0" applyFont="1" applyFill="1" applyBorder="1" applyAlignment="1">
      <alignment horizontal="right" vertical="center" wrapText="1"/>
    </xf>
    <xf numFmtId="0" fontId="20" fillId="0" borderId="0" xfId="0" applyFont="1" applyFill="1" applyBorder="1" applyAlignment="1">
      <alignment horizontal="right" vertical="center" wrapText="1"/>
    </xf>
    <xf numFmtId="168" fontId="24" fillId="0" borderId="1" xfId="0" applyNumberFormat="1" applyFont="1" applyFill="1" applyBorder="1" applyAlignment="1" applyProtection="1">
      <alignment horizontal="right" vertical="center" wrapText="1"/>
    </xf>
    <xf numFmtId="169" fontId="20" fillId="0" borderId="2" xfId="0" applyNumberFormat="1" applyFont="1" applyFill="1" applyBorder="1" applyAlignment="1">
      <alignment horizontal="right" vertical="center" wrapText="1"/>
    </xf>
    <xf numFmtId="169" fontId="20" fillId="0" borderId="0" xfId="0" applyNumberFormat="1" applyFont="1" applyFill="1" applyBorder="1" applyAlignment="1">
      <alignment horizontal="right" vertical="center" wrapText="1"/>
    </xf>
    <xf numFmtId="167" fontId="7" fillId="3" borderId="1" xfId="0" applyNumberFormat="1" applyFont="1" applyFill="1" applyBorder="1" applyAlignment="1" applyProtection="1">
      <alignment horizontal="right" vertical="center" wrapText="1"/>
    </xf>
    <xf numFmtId="168" fontId="7" fillId="3" borderId="1" xfId="0" applyNumberFormat="1" applyFont="1" applyFill="1" applyBorder="1" applyAlignment="1" applyProtection="1">
      <alignment horizontal="right" vertical="center" wrapText="1"/>
    </xf>
    <xf numFmtId="167" fontId="6" fillId="3" borderId="1" xfId="0" applyNumberFormat="1" applyFont="1" applyFill="1" applyBorder="1" applyAlignment="1">
      <alignment horizontal="right" vertical="center"/>
    </xf>
    <xf numFmtId="167" fontId="6" fillId="3" borderId="1" xfId="0" applyNumberFormat="1" applyFont="1" applyFill="1" applyBorder="1" applyAlignment="1" applyProtection="1">
      <alignment horizontal="right" vertical="center" wrapText="1"/>
    </xf>
    <xf numFmtId="164" fontId="6" fillId="3" borderId="1" xfId="0" applyNumberFormat="1" applyFont="1" applyFill="1" applyBorder="1" applyAlignment="1" applyProtection="1">
      <alignment horizontal="right" vertical="center" wrapText="1"/>
    </xf>
    <xf numFmtId="167" fontId="6" fillId="3" borderId="1" xfId="0" applyNumberFormat="1" applyFont="1" applyFill="1" applyBorder="1" applyAlignment="1">
      <alignment horizontal="right" vertical="center" wrapText="1"/>
    </xf>
    <xf numFmtId="167" fontId="11" fillId="3" borderId="1" xfId="0" applyNumberFormat="1" applyFont="1" applyFill="1" applyBorder="1" applyAlignment="1">
      <alignment horizontal="right" vertical="center"/>
    </xf>
    <xf numFmtId="167" fontId="6" fillId="3" borderId="5" xfId="0" applyNumberFormat="1" applyFont="1" applyFill="1" applyBorder="1" applyAlignment="1">
      <alignment horizontal="right"/>
    </xf>
    <xf numFmtId="167" fontId="6" fillId="3" borderId="1" xfId="0" applyNumberFormat="1" applyFont="1" applyFill="1" applyBorder="1" applyAlignment="1">
      <alignment horizontal="right"/>
    </xf>
    <xf numFmtId="0" fontId="23" fillId="3" borderId="1" xfId="0" applyFont="1" applyFill="1" applyBorder="1" applyAlignment="1">
      <alignment horizontal="right" vertical="top" wrapText="1"/>
    </xf>
    <xf numFmtId="167" fontId="6" fillId="3" borderId="4" xfId="0" applyNumberFormat="1" applyFont="1" applyFill="1" applyBorder="1" applyAlignment="1">
      <alignment horizontal="right" vertical="center"/>
    </xf>
    <xf numFmtId="167" fontId="6" fillId="3" borderId="6" xfId="0" applyNumberFormat="1" applyFont="1" applyFill="1" applyBorder="1" applyAlignment="1">
      <alignment horizontal="right"/>
    </xf>
    <xf numFmtId="165" fontId="6" fillId="3" borderId="1" xfId="0" applyNumberFormat="1" applyFont="1" applyFill="1" applyBorder="1" applyAlignment="1" applyProtection="1">
      <alignment horizontal="right" vertical="center" wrapText="1"/>
    </xf>
    <xf numFmtId="167" fontId="7" fillId="3" borderId="1" xfId="0" applyNumberFormat="1" applyFont="1" applyFill="1" applyBorder="1" applyAlignment="1">
      <alignment horizontal="right" vertical="center"/>
    </xf>
    <xf numFmtId="167" fontId="6" fillId="3" borderId="1" xfId="0" applyNumberFormat="1" applyFont="1" applyFill="1" applyBorder="1" applyAlignment="1">
      <alignment horizontal="right" vertical="top"/>
    </xf>
    <xf numFmtId="4" fontId="6" fillId="0" borderId="1" xfId="0" applyNumberFormat="1" applyFont="1" applyFill="1" applyBorder="1" applyAlignment="1">
      <alignment horizontal="right" vertical="top"/>
    </xf>
    <xf numFmtId="0" fontId="6" fillId="0" borderId="1" xfId="0" applyNumberFormat="1" applyFont="1" applyFill="1" applyBorder="1" applyAlignment="1">
      <alignment horizontal="right" vertical="top" wrapText="1"/>
    </xf>
    <xf numFmtId="167" fontId="7" fillId="0" borderId="1" xfId="0" applyNumberFormat="1" applyFont="1" applyFill="1" applyBorder="1" applyAlignment="1">
      <alignment horizontal="right" vertical="top"/>
    </xf>
    <xf numFmtId="167" fontId="7" fillId="0" borderId="1" xfId="0" applyNumberFormat="1" applyFont="1" applyFill="1" applyBorder="1" applyAlignment="1" applyProtection="1">
      <alignment horizontal="right" vertical="center"/>
    </xf>
    <xf numFmtId="167" fontId="6" fillId="0" borderId="1" xfId="0" applyNumberFormat="1" applyFont="1" applyFill="1" applyBorder="1" applyAlignment="1">
      <alignment horizontal="right"/>
    </xf>
    <xf numFmtId="0" fontId="31" fillId="4" borderId="2" xfId="0" applyFont="1" applyFill="1" applyBorder="1" applyAlignment="1">
      <alignment horizontal="left" vertical="center" wrapText="1"/>
    </xf>
    <xf numFmtId="0" fontId="6" fillId="0" borderId="0" xfId="0" applyFont="1" applyFill="1" applyAlignment="1">
      <alignment horizontal="left" wrapText="1"/>
    </xf>
    <xf numFmtId="0" fontId="32" fillId="4" borderId="3" xfId="0" applyFont="1" applyFill="1" applyBorder="1" applyAlignment="1">
      <alignment horizontal="left" vertical="center" wrapText="1"/>
    </xf>
    <xf numFmtId="0" fontId="32" fillId="4" borderId="10" xfId="0" applyFont="1" applyFill="1" applyBorder="1" applyAlignment="1">
      <alignment horizontal="left" vertical="center" wrapText="1"/>
    </xf>
    <xf numFmtId="0" fontId="5" fillId="0" borderId="1" xfId="0" applyFont="1" applyFill="1" applyBorder="1" applyAlignment="1">
      <alignment horizontal="center"/>
    </xf>
    <xf numFmtId="0" fontId="4" fillId="0" borderId="1" xfId="0" applyFont="1" applyFill="1" applyBorder="1" applyAlignment="1">
      <alignment horizontal="center"/>
    </xf>
    <xf numFmtId="165" fontId="12"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s>
</file>

<file path=xl/worksheets/sheet1.xml><?xml version="1.0" encoding="utf-8"?>
<worksheet xmlns="http://schemas.openxmlformats.org/spreadsheetml/2006/main" xmlns:r="http://schemas.openxmlformats.org/officeDocument/2006/relationships">
  <sheetPr codeName="Лист1">
    <pageSetUpPr fitToPage="1"/>
  </sheetPr>
  <dimension ref="A1:CL463"/>
  <sheetViews>
    <sheetView tabSelected="1" view="pageBreakPreview" topLeftCell="A61" zoomScale="65" zoomScaleNormal="85" zoomScaleSheetLayoutView="65" workbookViewId="0">
      <selection activeCell="B12" sqref="B12"/>
    </sheetView>
  </sheetViews>
  <sheetFormatPr defaultColWidth="9.140625" defaultRowHeight="18.75"/>
  <cols>
    <col min="1" max="1" width="19.28515625" style="1" customWidth="1"/>
    <col min="2" max="2" width="120.28515625" style="2" customWidth="1"/>
    <col min="3" max="3" width="20.7109375" style="3" customWidth="1"/>
    <col min="4" max="4" width="21.28515625" style="3" customWidth="1"/>
    <col min="5" max="5" width="20.140625" style="4" customWidth="1"/>
    <col min="6" max="6" width="19.5703125" style="5" customWidth="1"/>
    <col min="7" max="7" width="20.5703125" style="3" customWidth="1"/>
    <col min="8" max="8" width="19.5703125" style="3" customWidth="1"/>
    <col min="9" max="9" width="20.140625" style="3" customWidth="1"/>
    <col min="10" max="10" width="18.7109375" style="8" customWidth="1"/>
    <col min="11" max="16384" width="9.140625" style="6"/>
  </cols>
  <sheetData>
    <row r="1" spans="1:38" s="9" customFormat="1">
      <c r="A1" s="10"/>
      <c r="B1" s="11"/>
      <c r="C1" s="12"/>
      <c r="D1" s="12"/>
      <c r="E1" s="13"/>
      <c r="F1" s="14"/>
      <c r="G1" s="12"/>
      <c r="H1" s="15" t="s">
        <v>506</v>
      </c>
      <c r="I1" s="15"/>
      <c r="J1" s="29"/>
    </row>
    <row r="2" spans="1:38" s="9" customFormat="1">
      <c r="A2" s="10"/>
      <c r="B2" s="11"/>
      <c r="C2" s="12"/>
      <c r="D2" s="12"/>
      <c r="E2" s="13"/>
      <c r="F2" s="14"/>
      <c r="G2" s="12"/>
      <c r="H2" s="201" t="s">
        <v>507</v>
      </c>
      <c r="I2" s="201"/>
      <c r="J2" s="29"/>
    </row>
    <row r="3" spans="1:38" s="9" customFormat="1" ht="15.75" customHeight="1">
      <c r="A3" s="10"/>
      <c r="B3" s="11"/>
      <c r="C3" s="12"/>
      <c r="D3" s="12"/>
      <c r="E3" s="13"/>
      <c r="F3" s="14"/>
      <c r="G3" s="12"/>
      <c r="H3" s="15"/>
      <c r="I3" s="15"/>
      <c r="J3" s="15"/>
    </row>
    <row r="4" spans="1:38" s="9" customFormat="1" ht="27">
      <c r="A4" s="206" t="s">
        <v>508</v>
      </c>
      <c r="B4" s="206"/>
      <c r="C4" s="206"/>
      <c r="D4" s="206"/>
      <c r="E4" s="206"/>
      <c r="F4" s="206"/>
      <c r="G4" s="206"/>
      <c r="H4" s="206"/>
      <c r="I4" s="206"/>
      <c r="J4" s="206"/>
    </row>
    <row r="5" spans="1:38" s="9" customFormat="1" ht="28.5" customHeight="1">
      <c r="A5" s="16"/>
      <c r="B5" s="16"/>
      <c r="C5" s="16"/>
      <c r="D5" s="16"/>
      <c r="E5" s="17"/>
      <c r="F5" s="17"/>
      <c r="G5" s="16"/>
      <c r="H5" s="16"/>
      <c r="I5" s="16"/>
      <c r="J5" s="18"/>
    </row>
    <row r="6" spans="1:38" s="9" customFormat="1" ht="21" customHeight="1">
      <c r="A6" s="208" t="s">
        <v>2</v>
      </c>
      <c r="B6" s="208" t="s">
        <v>3</v>
      </c>
      <c r="C6" s="207" t="s">
        <v>0</v>
      </c>
      <c r="D6" s="207"/>
      <c r="E6" s="207"/>
      <c r="F6" s="207"/>
      <c r="G6" s="207" t="s">
        <v>1</v>
      </c>
      <c r="H6" s="207"/>
      <c r="I6" s="207"/>
      <c r="J6" s="207"/>
    </row>
    <row r="7" spans="1:38" s="21" customFormat="1" ht="90" customHeight="1">
      <c r="A7" s="208"/>
      <c r="B7" s="208"/>
      <c r="C7" s="19" t="s">
        <v>425</v>
      </c>
      <c r="D7" s="19" t="s">
        <v>426</v>
      </c>
      <c r="E7" s="19" t="s">
        <v>320</v>
      </c>
      <c r="F7" s="20" t="s">
        <v>319</v>
      </c>
      <c r="G7" s="19" t="s">
        <v>425</v>
      </c>
      <c r="H7" s="19" t="s">
        <v>426</v>
      </c>
      <c r="I7" s="19" t="s">
        <v>320</v>
      </c>
      <c r="J7" s="20" t="s">
        <v>319</v>
      </c>
    </row>
    <row r="8" spans="1:38" s="27" customFormat="1" ht="24" customHeight="1">
      <c r="A8" s="22">
        <v>1</v>
      </c>
      <c r="B8" s="22">
        <v>2</v>
      </c>
      <c r="C8" s="23">
        <v>3</v>
      </c>
      <c r="D8" s="23">
        <v>4</v>
      </c>
      <c r="E8" s="24">
        <v>5</v>
      </c>
      <c r="F8" s="25">
        <v>6</v>
      </c>
      <c r="G8" s="23">
        <v>7</v>
      </c>
      <c r="H8" s="23">
        <v>8</v>
      </c>
      <c r="I8" s="23">
        <v>9</v>
      </c>
      <c r="J8" s="26">
        <v>10</v>
      </c>
    </row>
    <row r="9" spans="1:38" s="9" customFormat="1" ht="22.5" customHeight="1">
      <c r="A9" s="209" t="s">
        <v>322</v>
      </c>
      <c r="B9" s="210"/>
      <c r="C9" s="210"/>
      <c r="D9" s="210"/>
      <c r="E9" s="210"/>
      <c r="F9" s="210"/>
      <c r="G9" s="210"/>
      <c r="H9" s="210"/>
      <c r="I9" s="210"/>
      <c r="J9" s="211"/>
    </row>
    <row r="10" spans="1:38" s="33" customFormat="1">
      <c r="A10" s="145">
        <v>10000000</v>
      </c>
      <c r="B10" s="99" t="s">
        <v>241</v>
      </c>
      <c r="C10" s="161">
        <f>C11+C21+C22+C28+C49</f>
        <v>4812474.57</v>
      </c>
      <c r="D10" s="161">
        <f>D11+D21+D22+D28+D49</f>
        <v>3842828.8060000003</v>
      </c>
      <c r="E10" s="90">
        <f>D10-C10</f>
        <v>-969645.76399999997</v>
      </c>
      <c r="F10" s="91">
        <f>D10/C10*100</f>
        <v>79.851410123918853</v>
      </c>
      <c r="G10" s="161">
        <f>G47+G48</f>
        <v>592.07999999999993</v>
      </c>
      <c r="H10" s="161">
        <f>H47</f>
        <v>924.15599999999995</v>
      </c>
      <c r="I10" s="90">
        <f>SUM(H10-G10)</f>
        <v>332.07600000000002</v>
      </c>
      <c r="J10" s="91" t="s">
        <v>367</v>
      </c>
    </row>
    <row r="11" spans="1:38" s="30" customFormat="1">
      <c r="A11" s="88">
        <v>11000000</v>
      </c>
      <c r="B11" s="80" t="s">
        <v>242</v>
      </c>
      <c r="C11" s="37">
        <f>C12+C19</f>
        <v>3676058.5660000001</v>
      </c>
      <c r="D11" s="37">
        <f>D12+D19</f>
        <v>2328361.943</v>
      </c>
      <c r="E11" s="92">
        <f t="shared" ref="E11:E18" si="0">D11-C11</f>
        <v>-1347696.6230000001</v>
      </c>
      <c r="F11" s="93">
        <f>D11/C11*100</f>
        <v>63.338543203177025</v>
      </c>
      <c r="G11" s="37"/>
      <c r="H11" s="37"/>
      <c r="I11" s="92"/>
      <c r="J11" s="94"/>
      <c r="AL11" s="9"/>
    </row>
    <row r="12" spans="1:38" s="30" customFormat="1">
      <c r="A12" s="88">
        <v>11010000</v>
      </c>
      <c r="B12" s="80" t="s">
        <v>243</v>
      </c>
      <c r="C12" s="37">
        <f>SUM(C13:C18)</f>
        <v>3673799.702</v>
      </c>
      <c r="D12" s="37">
        <f>D13+D14+D15+D16+D17+D18</f>
        <v>2323774.4989999998</v>
      </c>
      <c r="E12" s="92">
        <f t="shared" si="0"/>
        <v>-1350025.2030000002</v>
      </c>
      <c r="F12" s="93">
        <f>D12/C12*100</f>
        <v>63.252618201665911</v>
      </c>
      <c r="G12" s="37"/>
      <c r="H12" s="37"/>
      <c r="I12" s="92"/>
      <c r="J12" s="94"/>
    </row>
    <row r="13" spans="1:38" s="30" customFormat="1" ht="37.5">
      <c r="A13" s="88">
        <v>11010100</v>
      </c>
      <c r="B13" s="80" t="s">
        <v>244</v>
      </c>
      <c r="C13" s="37">
        <v>1734805.6470000001</v>
      </c>
      <c r="D13" s="37">
        <v>2198831.7009999999</v>
      </c>
      <c r="E13" s="92">
        <f>D13-C13</f>
        <v>464026.05399999977</v>
      </c>
      <c r="F13" s="93">
        <f>D13/C13*100</f>
        <v>126.74801380791214</v>
      </c>
      <c r="G13" s="37"/>
      <c r="H13" s="37"/>
      <c r="I13" s="92"/>
      <c r="J13" s="94"/>
    </row>
    <row r="14" spans="1:38" s="30" customFormat="1" ht="56.25">
      <c r="A14" s="146">
        <v>11010200</v>
      </c>
      <c r="B14" s="80" t="s">
        <v>390</v>
      </c>
      <c r="C14" s="37">
        <v>1865801.872</v>
      </c>
      <c r="D14" s="37">
        <v>-9.2469999999999999</v>
      </c>
      <c r="E14" s="92">
        <f t="shared" si="0"/>
        <v>-1865811.1189999999</v>
      </c>
      <c r="F14" s="93"/>
      <c r="G14" s="37"/>
      <c r="H14" s="37"/>
      <c r="I14" s="92"/>
      <c r="J14" s="94"/>
    </row>
    <row r="15" spans="1:38" s="30" customFormat="1" ht="37.5">
      <c r="A15" s="146">
        <v>11010400</v>
      </c>
      <c r="B15" s="80" t="s">
        <v>245</v>
      </c>
      <c r="C15" s="37">
        <v>45866.442000000003</v>
      </c>
      <c r="D15" s="37">
        <v>73454.104000000007</v>
      </c>
      <c r="E15" s="92">
        <f t="shared" si="0"/>
        <v>27587.662000000004</v>
      </c>
      <c r="F15" s="93" t="s">
        <v>367</v>
      </c>
      <c r="G15" s="37"/>
      <c r="H15" s="37"/>
      <c r="I15" s="92"/>
      <c r="J15" s="94"/>
    </row>
    <row r="16" spans="1:38" s="30" customFormat="1" ht="37.5">
      <c r="A16" s="146">
        <v>11010500</v>
      </c>
      <c r="B16" s="80" t="s">
        <v>246</v>
      </c>
      <c r="C16" s="37">
        <v>27221.306</v>
      </c>
      <c r="D16" s="37">
        <v>49029.294000000002</v>
      </c>
      <c r="E16" s="92">
        <f t="shared" si="0"/>
        <v>21807.988000000001</v>
      </c>
      <c r="F16" s="93" t="s">
        <v>366</v>
      </c>
      <c r="G16" s="37"/>
      <c r="H16" s="37"/>
      <c r="I16" s="92"/>
      <c r="J16" s="94"/>
    </row>
    <row r="17" spans="1:10" s="30" customFormat="1">
      <c r="A17" s="146">
        <v>11011200</v>
      </c>
      <c r="B17" s="80" t="s">
        <v>331</v>
      </c>
      <c r="C17" s="37">
        <v>98.775999999999996</v>
      </c>
      <c r="D17" s="37">
        <v>2444.8180000000002</v>
      </c>
      <c r="E17" s="92">
        <f t="shared" si="0"/>
        <v>2346.0420000000004</v>
      </c>
      <c r="F17" s="93" t="s">
        <v>445</v>
      </c>
      <c r="G17" s="37"/>
      <c r="H17" s="37"/>
      <c r="I17" s="92"/>
      <c r="J17" s="94"/>
    </row>
    <row r="18" spans="1:10" s="30" customFormat="1" ht="37.5">
      <c r="A18" s="146">
        <v>11011300</v>
      </c>
      <c r="B18" s="80" t="s">
        <v>343</v>
      </c>
      <c r="C18" s="37">
        <v>5.6589999999999998</v>
      </c>
      <c r="D18" s="37">
        <v>23.829000000000001</v>
      </c>
      <c r="E18" s="92">
        <f t="shared" si="0"/>
        <v>18.170000000000002</v>
      </c>
      <c r="F18" s="93" t="s">
        <v>409</v>
      </c>
      <c r="G18" s="37"/>
      <c r="H18" s="37"/>
      <c r="I18" s="92"/>
      <c r="J18" s="94"/>
    </row>
    <row r="19" spans="1:10" s="30" customFormat="1">
      <c r="A19" s="88">
        <v>11020000</v>
      </c>
      <c r="B19" s="80" t="s">
        <v>247</v>
      </c>
      <c r="C19" s="37">
        <f>C20</f>
        <v>2258.864</v>
      </c>
      <c r="D19" s="37">
        <f>D20</f>
        <v>4587.4440000000004</v>
      </c>
      <c r="E19" s="92">
        <f>D19-C19</f>
        <v>2328.5800000000004</v>
      </c>
      <c r="F19" s="93" t="s">
        <v>435</v>
      </c>
      <c r="G19" s="37"/>
      <c r="H19" s="37"/>
      <c r="I19" s="92"/>
      <c r="J19" s="94"/>
    </row>
    <row r="20" spans="1:10" s="31" customFormat="1">
      <c r="A20" s="88">
        <v>11020200</v>
      </c>
      <c r="B20" s="80" t="s">
        <v>248</v>
      </c>
      <c r="C20" s="37">
        <v>2258.864</v>
      </c>
      <c r="D20" s="37">
        <v>4587.4440000000004</v>
      </c>
      <c r="E20" s="92">
        <f>D20-C20</f>
        <v>2328.5800000000004</v>
      </c>
      <c r="F20" s="93" t="s">
        <v>435</v>
      </c>
      <c r="G20" s="37"/>
      <c r="H20" s="37"/>
      <c r="I20" s="92"/>
      <c r="J20" s="94"/>
    </row>
    <row r="21" spans="1:10" s="30" customFormat="1">
      <c r="A21" s="147">
        <v>13000000</v>
      </c>
      <c r="B21" s="43" t="s">
        <v>249</v>
      </c>
      <c r="C21" s="36">
        <v>44.988</v>
      </c>
      <c r="D21" s="37">
        <v>100.952</v>
      </c>
      <c r="E21" s="92">
        <f>D21-C21</f>
        <v>55.963999999999999</v>
      </c>
      <c r="F21" s="93" t="s">
        <v>436</v>
      </c>
      <c r="G21" s="37"/>
      <c r="H21" s="37"/>
      <c r="I21" s="92"/>
      <c r="J21" s="94"/>
    </row>
    <row r="22" spans="1:10" s="30" customFormat="1">
      <c r="A22" s="147">
        <v>14000000</v>
      </c>
      <c r="B22" s="80" t="s">
        <v>250</v>
      </c>
      <c r="C22" s="36">
        <f>C23+C25+C27</f>
        <v>318042.36099999998</v>
      </c>
      <c r="D22" s="36">
        <f>D23+D25+D27</f>
        <v>392160.69400000002</v>
      </c>
      <c r="E22" s="92">
        <f t="shared" ref="E22:E49" si="1">D22-C22</f>
        <v>74118.333000000042</v>
      </c>
      <c r="F22" s="93">
        <f t="shared" ref="F22:F88" si="2">D22/C22*100</f>
        <v>123.30454747190109</v>
      </c>
      <c r="G22" s="37"/>
      <c r="H22" s="37"/>
      <c r="I22" s="92"/>
      <c r="J22" s="94"/>
    </row>
    <row r="23" spans="1:10" s="30" customFormat="1">
      <c r="A23" s="148" t="s">
        <v>251</v>
      </c>
      <c r="B23" s="80" t="s">
        <v>252</v>
      </c>
      <c r="C23" s="36">
        <f>C24</f>
        <v>14550.22</v>
      </c>
      <c r="D23" s="36">
        <f>D24</f>
        <v>17321.309000000001</v>
      </c>
      <c r="E23" s="92">
        <f t="shared" si="1"/>
        <v>2771.0890000000018</v>
      </c>
      <c r="F23" s="93">
        <f t="shared" si="2"/>
        <v>119.04499725777345</v>
      </c>
      <c r="G23" s="37"/>
      <c r="H23" s="37"/>
      <c r="I23" s="92"/>
      <c r="J23" s="94"/>
    </row>
    <row r="24" spans="1:10" s="30" customFormat="1">
      <c r="A24" s="148" t="s">
        <v>253</v>
      </c>
      <c r="B24" s="80" t="s">
        <v>254</v>
      </c>
      <c r="C24" s="36">
        <v>14550.22</v>
      </c>
      <c r="D24" s="37">
        <v>17321.309000000001</v>
      </c>
      <c r="E24" s="92">
        <f t="shared" si="1"/>
        <v>2771.0890000000018</v>
      </c>
      <c r="F24" s="93">
        <f t="shared" si="2"/>
        <v>119.04499725777345</v>
      </c>
      <c r="G24" s="37"/>
      <c r="H24" s="37"/>
      <c r="I24" s="92"/>
      <c r="J24" s="94"/>
    </row>
    <row r="25" spans="1:10" s="30" customFormat="1">
      <c r="A25" s="148" t="s">
        <v>255</v>
      </c>
      <c r="B25" s="80" t="s">
        <v>256</v>
      </c>
      <c r="C25" s="36">
        <f>C26</f>
        <v>54210.275999999998</v>
      </c>
      <c r="D25" s="36">
        <f>D26</f>
        <v>106670.322</v>
      </c>
      <c r="E25" s="92">
        <f t="shared" si="1"/>
        <v>52460.046000000002</v>
      </c>
      <c r="F25" s="93" t="s">
        <v>435</v>
      </c>
      <c r="G25" s="37"/>
      <c r="H25" s="37"/>
      <c r="I25" s="92"/>
      <c r="J25" s="94"/>
    </row>
    <row r="26" spans="1:10" s="30" customFormat="1">
      <c r="A26" s="148" t="s">
        <v>257</v>
      </c>
      <c r="B26" s="80" t="s">
        <v>254</v>
      </c>
      <c r="C26" s="36">
        <v>54210.275999999998</v>
      </c>
      <c r="D26" s="37">
        <v>106670.322</v>
      </c>
      <c r="E26" s="92">
        <f t="shared" si="1"/>
        <v>52460.046000000002</v>
      </c>
      <c r="F26" s="93" t="s">
        <v>435</v>
      </c>
      <c r="G26" s="37"/>
      <c r="H26" s="37"/>
      <c r="I26" s="92"/>
      <c r="J26" s="94"/>
    </row>
    <row r="27" spans="1:10" s="30" customFormat="1">
      <c r="A27" s="88">
        <v>14040000</v>
      </c>
      <c r="B27" s="80" t="s">
        <v>258</v>
      </c>
      <c r="C27" s="37">
        <v>249281.86499999999</v>
      </c>
      <c r="D27" s="37">
        <v>268169.06300000002</v>
      </c>
      <c r="E27" s="92">
        <f t="shared" si="1"/>
        <v>18887.198000000033</v>
      </c>
      <c r="F27" s="93">
        <f t="shared" si="2"/>
        <v>107.5766434112646</v>
      </c>
      <c r="G27" s="37"/>
      <c r="H27" s="37"/>
      <c r="I27" s="92"/>
      <c r="J27" s="94"/>
    </row>
    <row r="28" spans="1:10" s="30" customFormat="1" ht="37.5">
      <c r="A28" s="88">
        <v>18000000</v>
      </c>
      <c r="B28" s="80" t="s">
        <v>259</v>
      </c>
      <c r="C28" s="37">
        <f>C29+C40+C43</f>
        <v>818328.15300000005</v>
      </c>
      <c r="D28" s="37">
        <f>D29+D40+D43</f>
        <v>1122155.72</v>
      </c>
      <c r="E28" s="92">
        <f t="shared" si="1"/>
        <v>303827.56699999992</v>
      </c>
      <c r="F28" s="93">
        <f t="shared" si="2"/>
        <v>137.1278399607987</v>
      </c>
      <c r="G28" s="37"/>
      <c r="H28" s="37"/>
      <c r="I28" s="92"/>
      <c r="J28" s="94"/>
    </row>
    <row r="29" spans="1:10" s="30" customFormat="1">
      <c r="A29" s="88">
        <v>18010000</v>
      </c>
      <c r="B29" s="80" t="s">
        <v>260</v>
      </c>
      <c r="C29" s="37">
        <f>SUM(C30:C39)</f>
        <v>278268.86700000003</v>
      </c>
      <c r="D29" s="37">
        <f>SUM(D30:D39)</f>
        <v>413601.68400000007</v>
      </c>
      <c r="E29" s="92">
        <f t="shared" si="1"/>
        <v>135332.81700000004</v>
      </c>
      <c r="F29" s="93">
        <f t="shared" si="2"/>
        <v>148.63383333500977</v>
      </c>
      <c r="G29" s="37"/>
      <c r="H29" s="37"/>
      <c r="I29" s="92"/>
      <c r="J29" s="94"/>
    </row>
    <row r="30" spans="1:10" s="30" customFormat="1" ht="37.5">
      <c r="A30" s="88">
        <v>18010100</v>
      </c>
      <c r="B30" s="80" t="s">
        <v>261</v>
      </c>
      <c r="C30" s="37">
        <v>139.798</v>
      </c>
      <c r="D30" s="37">
        <v>328.43599999999998</v>
      </c>
      <c r="E30" s="92">
        <f t="shared" si="1"/>
        <v>188.63799999999998</v>
      </c>
      <c r="F30" s="93" t="s">
        <v>344</v>
      </c>
      <c r="G30" s="37"/>
      <c r="H30" s="37"/>
      <c r="I30" s="92"/>
      <c r="J30" s="94"/>
    </row>
    <row r="31" spans="1:10" s="30" customFormat="1" ht="37.5">
      <c r="A31" s="149">
        <v>18010200</v>
      </c>
      <c r="B31" s="80" t="s">
        <v>262</v>
      </c>
      <c r="C31" s="37">
        <v>408.83300000000003</v>
      </c>
      <c r="D31" s="37">
        <v>4964.5200000000004</v>
      </c>
      <c r="E31" s="92">
        <f t="shared" si="1"/>
        <v>4555.6870000000008</v>
      </c>
      <c r="F31" s="93" t="s">
        <v>437</v>
      </c>
      <c r="G31" s="37"/>
      <c r="H31" s="37"/>
      <c r="I31" s="92"/>
      <c r="J31" s="94"/>
    </row>
    <row r="32" spans="1:10" s="30" customFormat="1" ht="37.5">
      <c r="A32" s="88">
        <v>18010300</v>
      </c>
      <c r="B32" s="80" t="s">
        <v>263</v>
      </c>
      <c r="C32" s="37">
        <v>2612.25</v>
      </c>
      <c r="D32" s="37">
        <v>12089.03</v>
      </c>
      <c r="E32" s="92">
        <f t="shared" si="1"/>
        <v>9476.7800000000007</v>
      </c>
      <c r="F32" s="93" t="s">
        <v>438</v>
      </c>
      <c r="G32" s="37"/>
      <c r="H32" s="37"/>
      <c r="I32" s="92"/>
      <c r="J32" s="94"/>
    </row>
    <row r="33" spans="1:10" s="30" customFormat="1" ht="37.5">
      <c r="A33" s="88">
        <v>18010400</v>
      </c>
      <c r="B33" s="80" t="s">
        <v>264</v>
      </c>
      <c r="C33" s="37">
        <v>41002.646000000001</v>
      </c>
      <c r="D33" s="37">
        <v>56391.14</v>
      </c>
      <c r="E33" s="92">
        <f t="shared" si="1"/>
        <v>15388.493999999999</v>
      </c>
      <c r="F33" s="93">
        <f t="shared" si="2"/>
        <v>137.53049010544342</v>
      </c>
      <c r="G33" s="37"/>
      <c r="H33" s="37"/>
      <c r="I33" s="92"/>
      <c r="J33" s="94"/>
    </row>
    <row r="34" spans="1:10" s="30" customFormat="1">
      <c r="A34" s="88">
        <v>18010500</v>
      </c>
      <c r="B34" s="80" t="s">
        <v>265</v>
      </c>
      <c r="C34" s="37">
        <v>74820.554999999993</v>
      </c>
      <c r="D34" s="37">
        <v>100853.92600000001</v>
      </c>
      <c r="E34" s="92">
        <f t="shared" si="1"/>
        <v>26033.371000000014</v>
      </c>
      <c r="F34" s="93">
        <f t="shared" si="2"/>
        <v>134.79441043975152</v>
      </c>
      <c r="G34" s="37"/>
      <c r="H34" s="37"/>
      <c r="I34" s="92"/>
      <c r="J34" s="94"/>
    </row>
    <row r="35" spans="1:10" s="30" customFormat="1">
      <c r="A35" s="88">
        <v>18010600</v>
      </c>
      <c r="B35" s="80" t="s">
        <v>266</v>
      </c>
      <c r="C35" s="37">
        <v>132243.704</v>
      </c>
      <c r="D35" s="37">
        <v>202820.508</v>
      </c>
      <c r="E35" s="92">
        <f t="shared" si="1"/>
        <v>70576.804000000004</v>
      </c>
      <c r="F35" s="93" t="s">
        <v>439</v>
      </c>
      <c r="G35" s="37"/>
      <c r="H35" s="37"/>
      <c r="I35" s="92"/>
      <c r="J35" s="94"/>
    </row>
    <row r="36" spans="1:10" s="30" customFormat="1">
      <c r="A36" s="88">
        <v>18010700</v>
      </c>
      <c r="B36" s="80" t="s">
        <v>267</v>
      </c>
      <c r="C36" s="37">
        <v>4809.0919999999996</v>
      </c>
      <c r="D36" s="37">
        <v>6990.4179999999997</v>
      </c>
      <c r="E36" s="92">
        <f t="shared" si="1"/>
        <v>2181.326</v>
      </c>
      <c r="F36" s="93" t="s">
        <v>439</v>
      </c>
      <c r="G36" s="37"/>
      <c r="H36" s="37"/>
      <c r="I36" s="92"/>
      <c r="J36" s="94"/>
    </row>
    <row r="37" spans="1:10" s="30" customFormat="1">
      <c r="A37" s="88">
        <v>18010900</v>
      </c>
      <c r="B37" s="80" t="s">
        <v>268</v>
      </c>
      <c r="C37" s="37">
        <v>20410.465</v>
      </c>
      <c r="D37" s="37">
        <v>27191.855</v>
      </c>
      <c r="E37" s="92">
        <f t="shared" si="1"/>
        <v>6781.3899999999994</v>
      </c>
      <c r="F37" s="93">
        <f t="shared" si="2"/>
        <v>133.22506371118934</v>
      </c>
      <c r="G37" s="37"/>
      <c r="H37" s="37"/>
      <c r="I37" s="92"/>
      <c r="J37" s="94"/>
    </row>
    <row r="38" spans="1:10" s="30" customFormat="1">
      <c r="A38" s="88">
        <v>18011000</v>
      </c>
      <c r="B38" s="80" t="s">
        <v>269</v>
      </c>
      <c r="C38" s="37">
        <v>1333.559</v>
      </c>
      <c r="D38" s="37">
        <v>1577.867</v>
      </c>
      <c r="E38" s="92">
        <f t="shared" si="1"/>
        <v>244.30799999999999</v>
      </c>
      <c r="F38" s="93">
        <f t="shared" si="2"/>
        <v>118.31999934011168</v>
      </c>
      <c r="G38" s="37"/>
      <c r="H38" s="37"/>
      <c r="I38" s="92"/>
      <c r="J38" s="94"/>
    </row>
    <row r="39" spans="1:10" s="30" customFormat="1">
      <c r="A39" s="88">
        <v>18011100</v>
      </c>
      <c r="B39" s="80" t="s">
        <v>270</v>
      </c>
      <c r="C39" s="37">
        <v>487.96499999999997</v>
      </c>
      <c r="D39" s="37">
        <v>393.98399999999998</v>
      </c>
      <c r="E39" s="92">
        <f>D39-C39</f>
        <v>-93.980999999999995</v>
      </c>
      <c r="F39" s="93">
        <f t="shared" si="2"/>
        <v>80.740217023761957</v>
      </c>
      <c r="G39" s="37"/>
      <c r="H39" s="37"/>
      <c r="I39" s="92"/>
      <c r="J39" s="94"/>
    </row>
    <row r="40" spans="1:10" s="30" customFormat="1">
      <c r="A40" s="88">
        <v>18030000</v>
      </c>
      <c r="B40" s="80" t="s">
        <v>271</v>
      </c>
      <c r="C40" s="37">
        <f>C41+C42</f>
        <v>737.18000000000006</v>
      </c>
      <c r="D40" s="37">
        <f>D41+D42</f>
        <v>1277.663</v>
      </c>
      <c r="E40" s="92">
        <f t="shared" si="1"/>
        <v>540.48299999999995</v>
      </c>
      <c r="F40" s="93" t="s">
        <v>365</v>
      </c>
      <c r="G40" s="37"/>
      <c r="H40" s="37"/>
      <c r="I40" s="92"/>
      <c r="J40" s="94"/>
    </row>
    <row r="41" spans="1:10" s="30" customFormat="1">
      <c r="A41" s="88">
        <v>18030100</v>
      </c>
      <c r="B41" s="80" t="s">
        <v>272</v>
      </c>
      <c r="C41" s="37">
        <v>263.48399999999998</v>
      </c>
      <c r="D41" s="37">
        <v>351.83499999999998</v>
      </c>
      <c r="E41" s="92">
        <f t="shared" si="1"/>
        <v>88.350999999999999</v>
      </c>
      <c r="F41" s="93">
        <f t="shared" si="2"/>
        <v>133.53182735953607</v>
      </c>
      <c r="G41" s="37"/>
      <c r="H41" s="37"/>
      <c r="I41" s="92"/>
      <c r="J41" s="94"/>
    </row>
    <row r="42" spans="1:10" s="30" customFormat="1">
      <c r="A42" s="88">
        <v>18030200</v>
      </c>
      <c r="B42" s="80" t="s">
        <v>273</v>
      </c>
      <c r="C42" s="37">
        <v>473.69600000000003</v>
      </c>
      <c r="D42" s="37">
        <v>925.82799999999997</v>
      </c>
      <c r="E42" s="92">
        <f t="shared" si="1"/>
        <v>452.13199999999995</v>
      </c>
      <c r="F42" s="93" t="s">
        <v>435</v>
      </c>
      <c r="G42" s="37"/>
      <c r="H42" s="37"/>
      <c r="I42" s="92"/>
      <c r="J42" s="94"/>
    </row>
    <row r="43" spans="1:10" s="30" customFormat="1">
      <c r="A43" s="88">
        <v>18050000</v>
      </c>
      <c r="B43" s="80" t="s">
        <v>274</v>
      </c>
      <c r="C43" s="37">
        <f>C44+C45+C46</f>
        <v>539322.10600000003</v>
      </c>
      <c r="D43" s="37">
        <f>D44+D45+D46</f>
        <v>707276.37299999991</v>
      </c>
      <c r="E43" s="92">
        <f t="shared" si="1"/>
        <v>167954.26699999988</v>
      </c>
      <c r="F43" s="93">
        <f t="shared" si="2"/>
        <v>131.14173610380433</v>
      </c>
      <c r="G43" s="37"/>
      <c r="H43" s="37"/>
      <c r="I43" s="92"/>
      <c r="J43" s="94"/>
    </row>
    <row r="44" spans="1:10" s="30" customFormat="1">
      <c r="A44" s="88">
        <v>18050300</v>
      </c>
      <c r="B44" s="80" t="s">
        <v>275</v>
      </c>
      <c r="C44" s="37">
        <v>118865.28</v>
      </c>
      <c r="D44" s="37">
        <v>103936.183</v>
      </c>
      <c r="E44" s="92">
        <f t="shared" si="1"/>
        <v>-14929.096999999994</v>
      </c>
      <c r="F44" s="93">
        <f t="shared" si="2"/>
        <v>87.440321513565607</v>
      </c>
      <c r="G44" s="37"/>
      <c r="H44" s="37"/>
      <c r="I44" s="92"/>
      <c r="J44" s="94"/>
    </row>
    <row r="45" spans="1:10" s="30" customFormat="1">
      <c r="A45" s="88">
        <v>18050400</v>
      </c>
      <c r="B45" s="80" t="s">
        <v>276</v>
      </c>
      <c r="C45" s="37">
        <v>420465.82900000003</v>
      </c>
      <c r="D45" s="37">
        <v>603334.12</v>
      </c>
      <c r="E45" s="92">
        <f t="shared" si="1"/>
        <v>182868.29099999997</v>
      </c>
      <c r="F45" s="93">
        <f>D45/C45*100</f>
        <v>143.49183177023403</v>
      </c>
      <c r="G45" s="37"/>
      <c r="H45" s="37"/>
      <c r="I45" s="92"/>
      <c r="J45" s="94"/>
    </row>
    <row r="46" spans="1:10" s="30" customFormat="1" ht="56.25">
      <c r="A46" s="88">
        <v>18050500</v>
      </c>
      <c r="B46" s="80" t="s">
        <v>277</v>
      </c>
      <c r="C46" s="65">
        <v>-9.0030000000000001</v>
      </c>
      <c r="D46" s="37">
        <v>6.07</v>
      </c>
      <c r="E46" s="92">
        <f t="shared" si="1"/>
        <v>15.073</v>
      </c>
      <c r="F46" s="93">
        <f>D46/C46*100</f>
        <v>-67.421970454293017</v>
      </c>
      <c r="G46" s="37"/>
      <c r="H46" s="37"/>
      <c r="I46" s="92"/>
      <c r="J46" s="94"/>
    </row>
    <row r="47" spans="1:10" s="30" customFormat="1">
      <c r="A47" s="88">
        <v>19010000</v>
      </c>
      <c r="B47" s="80" t="s">
        <v>278</v>
      </c>
      <c r="C47" s="37"/>
      <c r="D47" s="37"/>
      <c r="E47" s="92"/>
      <c r="F47" s="93"/>
      <c r="G47" s="37">
        <v>592.08799999999997</v>
      </c>
      <c r="H47" s="37">
        <v>924.15599999999995</v>
      </c>
      <c r="I47" s="92">
        <f>SUM(H47-G47)</f>
        <v>332.06799999999998</v>
      </c>
      <c r="J47" s="93" t="s">
        <v>367</v>
      </c>
    </row>
    <row r="48" spans="1:10" s="30" customFormat="1">
      <c r="A48" s="88">
        <v>19050000</v>
      </c>
      <c r="B48" s="80" t="s">
        <v>432</v>
      </c>
      <c r="C48" s="37"/>
      <c r="D48" s="37"/>
      <c r="E48" s="92"/>
      <c r="F48" s="93"/>
      <c r="G48" s="37">
        <v>-8.0000000000000002E-3</v>
      </c>
      <c r="H48" s="37"/>
      <c r="I48" s="92">
        <f>SUM(H48-G48)</f>
        <v>8.0000000000000002E-3</v>
      </c>
      <c r="J48" s="94"/>
    </row>
    <row r="49" spans="1:10" s="30" customFormat="1">
      <c r="A49" s="88">
        <v>19090500</v>
      </c>
      <c r="B49" s="80" t="s">
        <v>368</v>
      </c>
      <c r="C49" s="37">
        <v>0.502</v>
      </c>
      <c r="D49" s="37">
        <v>49.497</v>
      </c>
      <c r="E49" s="92">
        <f t="shared" si="1"/>
        <v>48.994999999999997</v>
      </c>
      <c r="F49" s="93"/>
      <c r="G49" s="37"/>
      <c r="H49" s="37"/>
      <c r="I49" s="92"/>
      <c r="J49" s="94"/>
    </row>
    <row r="50" spans="1:10" s="33" customFormat="1">
      <c r="A50" s="145">
        <v>20000000</v>
      </c>
      <c r="B50" s="150" t="s">
        <v>279</v>
      </c>
      <c r="C50" s="161">
        <f>C51+C60+C72</f>
        <v>64553.851999999999</v>
      </c>
      <c r="D50" s="161">
        <f>D51+D60+D72</f>
        <v>81207.13</v>
      </c>
      <c r="E50" s="90">
        <f>D50-C50</f>
        <v>16653.278000000006</v>
      </c>
      <c r="F50" s="91">
        <f t="shared" si="2"/>
        <v>125.79749694874909</v>
      </c>
      <c r="G50" s="90">
        <f>G72+G81</f>
        <v>173882.283</v>
      </c>
      <c r="H50" s="90">
        <f>H72+H81</f>
        <v>232875.99799999999</v>
      </c>
      <c r="I50" s="90">
        <f>SUM(H50-G50)</f>
        <v>58993.714999999997</v>
      </c>
      <c r="J50" s="97">
        <f t="shared" ref="J50" si="3">H50/G50*100</f>
        <v>133.92738695523107</v>
      </c>
    </row>
    <row r="51" spans="1:10" s="30" customFormat="1">
      <c r="A51" s="88">
        <v>21000000</v>
      </c>
      <c r="B51" s="80" t="s">
        <v>280</v>
      </c>
      <c r="C51" s="37">
        <f>C52</f>
        <v>8370.9560000000001</v>
      </c>
      <c r="D51" s="37">
        <f>D52</f>
        <v>12216.096</v>
      </c>
      <c r="E51" s="92">
        <f>D51-C51</f>
        <v>3845.1399999999994</v>
      </c>
      <c r="F51" s="93">
        <f t="shared" si="2"/>
        <v>145.93429949936422</v>
      </c>
      <c r="G51" s="37"/>
      <c r="H51" s="37"/>
      <c r="I51" s="92"/>
      <c r="J51" s="96"/>
    </row>
    <row r="52" spans="1:10" s="30" customFormat="1">
      <c r="A52" s="88">
        <v>21080000</v>
      </c>
      <c r="B52" s="80" t="s">
        <v>281</v>
      </c>
      <c r="C52" s="37">
        <f>C53+C54+C58+C55+C56+C57+C59</f>
        <v>8370.9560000000001</v>
      </c>
      <c r="D52" s="37">
        <f>D53+D54+D58+D55+D56+D57+D59</f>
        <v>12216.096</v>
      </c>
      <c r="E52" s="92">
        <f>D52-C52</f>
        <v>3845.1399999999994</v>
      </c>
      <c r="F52" s="93">
        <f t="shared" si="2"/>
        <v>145.93429949936422</v>
      </c>
      <c r="G52" s="37"/>
      <c r="H52" s="37"/>
      <c r="I52" s="92"/>
      <c r="J52" s="96"/>
    </row>
    <row r="53" spans="1:10" s="30" customFormat="1">
      <c r="A53" s="88">
        <v>21080500</v>
      </c>
      <c r="B53" s="80" t="s">
        <v>281</v>
      </c>
      <c r="C53" s="37"/>
      <c r="D53" s="37"/>
      <c r="E53" s="92"/>
      <c r="F53" s="93"/>
      <c r="G53" s="37"/>
      <c r="H53" s="37"/>
      <c r="I53" s="92"/>
      <c r="J53" s="96"/>
    </row>
    <row r="54" spans="1:10" s="30" customFormat="1" ht="56.25">
      <c r="A54" s="88">
        <v>21080900</v>
      </c>
      <c r="B54" s="151" t="s">
        <v>410</v>
      </c>
      <c r="C54" s="37"/>
      <c r="D54" s="37">
        <v>2.097</v>
      </c>
      <c r="E54" s="92">
        <f>D54-C54</f>
        <v>2.097</v>
      </c>
      <c r="F54" s="93"/>
      <c r="G54" s="37"/>
      <c r="H54" s="37"/>
      <c r="I54" s="92"/>
      <c r="J54" s="96"/>
    </row>
    <row r="55" spans="1:10" s="30" customFormat="1">
      <c r="A55" s="88">
        <v>21081100</v>
      </c>
      <c r="B55" s="80" t="s">
        <v>282</v>
      </c>
      <c r="C55" s="37">
        <v>5176.5349999999999</v>
      </c>
      <c r="D55" s="37">
        <v>6725.8909999999996</v>
      </c>
      <c r="E55" s="92">
        <f>D55-C55</f>
        <v>1549.3559999999998</v>
      </c>
      <c r="F55" s="93">
        <f t="shared" si="2"/>
        <v>129.93036848007401</v>
      </c>
      <c r="G55" s="37"/>
      <c r="H55" s="37"/>
      <c r="I55" s="92"/>
      <c r="J55" s="96"/>
    </row>
    <row r="56" spans="1:10" s="30" customFormat="1" ht="56.25">
      <c r="A56" s="88">
        <v>21081500</v>
      </c>
      <c r="B56" s="43" t="s">
        <v>388</v>
      </c>
      <c r="C56" s="37">
        <v>2368.319</v>
      </c>
      <c r="D56" s="37">
        <v>2625.4650000000001</v>
      </c>
      <c r="E56" s="92">
        <f>D56-C56</f>
        <v>257.14600000000019</v>
      </c>
      <c r="F56" s="93">
        <f t="shared" si="2"/>
        <v>110.85774340365467</v>
      </c>
      <c r="G56" s="37"/>
      <c r="H56" s="37"/>
      <c r="I56" s="92"/>
      <c r="J56" s="96"/>
    </row>
    <row r="57" spans="1:10" s="30" customFormat="1" ht="37.5">
      <c r="A57" s="88">
        <v>21081700</v>
      </c>
      <c r="B57" s="43" t="s">
        <v>389</v>
      </c>
      <c r="C57" s="37">
        <v>650</v>
      </c>
      <c r="D57" s="37">
        <v>1011.336</v>
      </c>
      <c r="E57" s="92">
        <f>D57-C57</f>
        <v>361.33600000000001</v>
      </c>
      <c r="F57" s="93" t="s">
        <v>367</v>
      </c>
      <c r="G57" s="37"/>
      <c r="H57" s="37"/>
      <c r="I57" s="92"/>
      <c r="J57" s="96"/>
    </row>
    <row r="58" spans="1:10" s="32" customFormat="1" ht="37.5">
      <c r="A58" s="152">
        <v>21081800</v>
      </c>
      <c r="B58" s="153" t="s">
        <v>327</v>
      </c>
      <c r="C58" s="85">
        <v>5.2999999999999999E-2</v>
      </c>
      <c r="D58" s="85">
        <v>1696.1420000000001</v>
      </c>
      <c r="E58" s="95">
        <f t="shared" ref="E58:E75" si="4">D58-C58</f>
        <v>1696.0889999999999</v>
      </c>
      <c r="F58" s="93"/>
      <c r="G58" s="85"/>
      <c r="H58" s="85"/>
      <c r="I58" s="95"/>
      <c r="J58" s="96"/>
    </row>
    <row r="59" spans="1:10" s="30" customFormat="1" ht="56.25">
      <c r="A59" s="88">
        <v>21082400</v>
      </c>
      <c r="B59" s="110" t="s">
        <v>311</v>
      </c>
      <c r="C59" s="37">
        <v>176.04900000000001</v>
      </c>
      <c r="D59" s="37">
        <v>155.16499999999999</v>
      </c>
      <c r="E59" s="92">
        <f t="shared" si="4"/>
        <v>-20.884000000000015</v>
      </c>
      <c r="F59" s="93">
        <f t="shared" si="2"/>
        <v>88.137393566563844</v>
      </c>
      <c r="G59" s="37"/>
      <c r="H59" s="37"/>
      <c r="I59" s="92"/>
      <c r="J59" s="96"/>
    </row>
    <row r="60" spans="1:10" s="30" customFormat="1">
      <c r="A60" s="88">
        <v>22000000</v>
      </c>
      <c r="B60" s="80" t="s">
        <v>283</v>
      </c>
      <c r="C60" s="37">
        <f>C61+C67+C68</f>
        <v>33544.578999999998</v>
      </c>
      <c r="D60" s="37">
        <f>D61+D67+D66+D68</f>
        <v>44315.839</v>
      </c>
      <c r="E60" s="92">
        <f t="shared" si="4"/>
        <v>10771.260000000002</v>
      </c>
      <c r="F60" s="93">
        <f t="shared" si="2"/>
        <v>132.11028524161833</v>
      </c>
      <c r="G60" s="37"/>
      <c r="H60" s="37"/>
      <c r="I60" s="92"/>
      <c r="J60" s="96"/>
    </row>
    <row r="61" spans="1:10" s="30" customFormat="1">
      <c r="A61" s="88">
        <v>22010000</v>
      </c>
      <c r="B61" s="80" t="s">
        <v>284</v>
      </c>
      <c r="C61" s="37">
        <f>C65+C64+C63+C62</f>
        <v>26124.545999999998</v>
      </c>
      <c r="D61" s="37">
        <f>D65+D64+D63+D62</f>
        <v>29753.064999999999</v>
      </c>
      <c r="E61" s="92">
        <f t="shared" si="4"/>
        <v>3628.5190000000002</v>
      </c>
      <c r="F61" s="93">
        <f t="shared" si="2"/>
        <v>113.88930931086803</v>
      </c>
      <c r="G61" s="37"/>
      <c r="H61" s="37"/>
      <c r="I61" s="92"/>
      <c r="J61" s="96"/>
    </row>
    <row r="62" spans="1:10" s="30" customFormat="1" ht="37.5">
      <c r="A62" s="88">
        <v>22010300</v>
      </c>
      <c r="B62" s="43" t="s">
        <v>285</v>
      </c>
      <c r="C62" s="37">
        <v>314.82100000000003</v>
      </c>
      <c r="D62" s="37">
        <v>321.32100000000003</v>
      </c>
      <c r="E62" s="92">
        <f t="shared" si="4"/>
        <v>6.5</v>
      </c>
      <c r="F62" s="93">
        <f t="shared" si="2"/>
        <v>102.064665317752</v>
      </c>
      <c r="G62" s="37"/>
      <c r="H62" s="37"/>
      <c r="I62" s="92"/>
      <c r="J62" s="96"/>
    </row>
    <row r="63" spans="1:10" s="30" customFormat="1">
      <c r="A63" s="88">
        <v>22012500</v>
      </c>
      <c r="B63" s="80" t="s">
        <v>286</v>
      </c>
      <c r="C63" s="37">
        <v>25412.964</v>
      </c>
      <c r="D63" s="37">
        <v>28811.725999999999</v>
      </c>
      <c r="E63" s="92">
        <f t="shared" si="4"/>
        <v>3398.7619999999988</v>
      </c>
      <c r="F63" s="93">
        <f t="shared" si="2"/>
        <v>113.37412668589148</v>
      </c>
      <c r="G63" s="37"/>
      <c r="H63" s="37"/>
      <c r="I63" s="92"/>
      <c r="J63" s="96"/>
    </row>
    <row r="64" spans="1:10" s="30" customFormat="1">
      <c r="A64" s="88">
        <v>22012600</v>
      </c>
      <c r="B64" s="43" t="s">
        <v>287</v>
      </c>
      <c r="C64" s="37">
        <v>388.06099999999998</v>
      </c>
      <c r="D64" s="37">
        <v>609.404</v>
      </c>
      <c r="E64" s="92">
        <f t="shared" si="4"/>
        <v>221.34300000000002</v>
      </c>
      <c r="F64" s="93" t="s">
        <v>367</v>
      </c>
      <c r="G64" s="37"/>
      <c r="H64" s="37"/>
      <c r="I64" s="92"/>
      <c r="J64" s="96"/>
    </row>
    <row r="65" spans="1:10" s="30" customFormat="1" ht="75">
      <c r="A65" s="88">
        <v>22012900</v>
      </c>
      <c r="B65" s="154" t="s">
        <v>288</v>
      </c>
      <c r="C65" s="37">
        <v>8.6999999999999993</v>
      </c>
      <c r="D65" s="37">
        <v>10.614000000000001</v>
      </c>
      <c r="E65" s="92">
        <f t="shared" si="4"/>
        <v>1.9140000000000015</v>
      </c>
      <c r="F65" s="93">
        <f t="shared" si="2"/>
        <v>122.00000000000001</v>
      </c>
      <c r="G65" s="37"/>
      <c r="H65" s="37"/>
      <c r="I65" s="92"/>
      <c r="J65" s="96"/>
    </row>
    <row r="66" spans="1:10" s="30" customFormat="1" ht="37.5">
      <c r="A66" s="88">
        <v>22020400</v>
      </c>
      <c r="B66" s="154" t="s">
        <v>369</v>
      </c>
      <c r="C66" s="37"/>
      <c r="D66" s="37">
        <v>6228.2139999999999</v>
      </c>
      <c r="E66" s="92">
        <f t="shared" si="4"/>
        <v>6228.2139999999999</v>
      </c>
      <c r="F66" s="93"/>
      <c r="G66" s="37"/>
      <c r="H66" s="37"/>
      <c r="I66" s="92"/>
      <c r="J66" s="96"/>
    </row>
    <row r="67" spans="1:10" s="30" customFormat="1" ht="37.5">
      <c r="A67" s="88">
        <v>22080400</v>
      </c>
      <c r="B67" s="155" t="s">
        <v>348</v>
      </c>
      <c r="C67" s="37">
        <v>7089.652</v>
      </c>
      <c r="D67" s="37">
        <v>7812.0540000000001</v>
      </c>
      <c r="E67" s="92">
        <f t="shared" si="4"/>
        <v>722.40200000000004</v>
      </c>
      <c r="F67" s="93">
        <f t="shared" si="2"/>
        <v>110.1895269330568</v>
      </c>
      <c r="G67" s="37"/>
      <c r="H67" s="37"/>
      <c r="I67" s="92"/>
      <c r="J67" s="96"/>
    </row>
    <row r="68" spans="1:10" s="30" customFormat="1">
      <c r="A68" s="88">
        <v>22090000</v>
      </c>
      <c r="B68" s="80" t="s">
        <v>289</v>
      </c>
      <c r="C68" s="37">
        <f>C69+C71</f>
        <v>330.38099999999997</v>
      </c>
      <c r="D68" s="37">
        <f>D69+D70+D71</f>
        <v>522.50599999999997</v>
      </c>
      <c r="E68" s="92">
        <f t="shared" si="4"/>
        <v>192.125</v>
      </c>
      <c r="F68" s="93" t="s">
        <v>367</v>
      </c>
      <c r="G68" s="37"/>
      <c r="H68" s="37"/>
      <c r="I68" s="92"/>
      <c r="J68" s="96"/>
    </row>
    <row r="69" spans="1:10" s="30" customFormat="1" ht="37.5">
      <c r="A69" s="88">
        <v>22090100</v>
      </c>
      <c r="B69" s="155" t="s">
        <v>290</v>
      </c>
      <c r="C69" s="37">
        <v>81.38</v>
      </c>
      <c r="D69" s="37">
        <v>335.53699999999998</v>
      </c>
      <c r="E69" s="92">
        <f t="shared" si="4"/>
        <v>254.15699999999998</v>
      </c>
      <c r="F69" s="93" t="s">
        <v>440</v>
      </c>
      <c r="G69" s="37"/>
      <c r="H69" s="37"/>
      <c r="I69" s="92"/>
      <c r="J69" s="96"/>
    </row>
    <row r="70" spans="1:10" s="30" customFormat="1">
      <c r="A70" s="88">
        <v>22090200</v>
      </c>
      <c r="B70" s="155" t="s">
        <v>370</v>
      </c>
      <c r="C70" s="37"/>
      <c r="D70" s="37">
        <v>3.0000000000000001E-3</v>
      </c>
      <c r="E70" s="92"/>
      <c r="F70" s="93"/>
      <c r="G70" s="37"/>
      <c r="H70" s="37"/>
      <c r="I70" s="92"/>
      <c r="J70" s="96"/>
    </row>
    <row r="71" spans="1:10" s="30" customFormat="1" ht="37.5">
      <c r="A71" s="88">
        <v>22090400</v>
      </c>
      <c r="B71" s="80" t="s">
        <v>291</v>
      </c>
      <c r="C71" s="37">
        <v>249.001</v>
      </c>
      <c r="D71" s="37">
        <v>186.96600000000001</v>
      </c>
      <c r="E71" s="92">
        <f t="shared" si="4"/>
        <v>-62.034999999999997</v>
      </c>
      <c r="F71" s="93">
        <f t="shared" si="2"/>
        <v>75.086445435962105</v>
      </c>
      <c r="G71" s="37"/>
      <c r="H71" s="37"/>
      <c r="I71" s="92"/>
      <c r="J71" s="96"/>
    </row>
    <row r="72" spans="1:10" s="30" customFormat="1">
      <c r="A72" s="88">
        <v>24000000</v>
      </c>
      <c r="B72" s="80" t="s">
        <v>292</v>
      </c>
      <c r="C72" s="37">
        <f>C73+C79</f>
        <v>22638.316999999999</v>
      </c>
      <c r="D72" s="37">
        <f>D73+D79</f>
        <v>24675.195</v>
      </c>
      <c r="E72" s="92">
        <f t="shared" si="4"/>
        <v>2036.8780000000006</v>
      </c>
      <c r="F72" s="93">
        <f t="shared" si="2"/>
        <v>108.99747980382111</v>
      </c>
      <c r="G72" s="37">
        <f>G73+G78+G79+G80</f>
        <v>473.98599999999999</v>
      </c>
      <c r="H72" s="37">
        <f>H73+H79+H80+H78</f>
        <v>5484.5500000000011</v>
      </c>
      <c r="I72" s="92">
        <f>SUM(H72-G72)</f>
        <v>5010.5640000000012</v>
      </c>
      <c r="J72" s="93" t="s">
        <v>442</v>
      </c>
    </row>
    <row r="73" spans="1:10" s="30" customFormat="1">
      <c r="A73" s="88">
        <v>24060000</v>
      </c>
      <c r="B73" s="80" t="s">
        <v>281</v>
      </c>
      <c r="C73" s="37">
        <f>C74+C77+C75</f>
        <v>22638.316999999999</v>
      </c>
      <c r="D73" s="37">
        <f>D74+D77+D75</f>
        <v>24675.195</v>
      </c>
      <c r="E73" s="92">
        <f t="shared" si="4"/>
        <v>2036.8780000000006</v>
      </c>
      <c r="F73" s="93">
        <f t="shared" si="2"/>
        <v>108.99747980382111</v>
      </c>
      <c r="G73" s="37">
        <f>G76</f>
        <v>83.41</v>
      </c>
      <c r="H73" s="37">
        <f>H76</f>
        <v>583.04999999999995</v>
      </c>
      <c r="I73" s="92">
        <f>SUM(H73-G73)</f>
        <v>499.64</v>
      </c>
      <c r="J73" s="94" t="s">
        <v>476</v>
      </c>
    </row>
    <row r="74" spans="1:10" s="30" customFormat="1">
      <c r="A74" s="88">
        <v>24060300</v>
      </c>
      <c r="B74" s="80" t="s">
        <v>281</v>
      </c>
      <c r="C74" s="37">
        <v>18354.375</v>
      </c>
      <c r="D74" s="37">
        <v>7442.3559999999998</v>
      </c>
      <c r="E74" s="92">
        <f t="shared" si="4"/>
        <v>-10912.019</v>
      </c>
      <c r="F74" s="93">
        <f t="shared" si="2"/>
        <v>40.548130895222528</v>
      </c>
      <c r="G74" s="37"/>
      <c r="H74" s="37"/>
      <c r="I74" s="92"/>
      <c r="J74" s="96"/>
    </row>
    <row r="75" spans="1:10" s="30" customFormat="1" ht="56.25">
      <c r="A75" s="88">
        <v>24061900</v>
      </c>
      <c r="B75" s="80" t="s">
        <v>314</v>
      </c>
      <c r="C75" s="37">
        <v>74.831000000000003</v>
      </c>
      <c r="D75" s="37">
        <v>3213.24</v>
      </c>
      <c r="E75" s="92">
        <f t="shared" si="4"/>
        <v>3138.4089999999997</v>
      </c>
      <c r="F75" s="93"/>
      <c r="G75" s="37"/>
      <c r="H75" s="37"/>
      <c r="I75" s="92"/>
      <c r="J75" s="96"/>
    </row>
    <row r="76" spans="1:10" s="30" customFormat="1" ht="37.5">
      <c r="A76" s="88">
        <v>24062100</v>
      </c>
      <c r="B76" s="80" t="s">
        <v>293</v>
      </c>
      <c r="C76" s="37"/>
      <c r="D76" s="37"/>
      <c r="E76" s="92"/>
      <c r="F76" s="93"/>
      <c r="G76" s="37">
        <v>83.41</v>
      </c>
      <c r="H76" s="37">
        <v>583.04999999999995</v>
      </c>
      <c r="I76" s="92">
        <f>SUM(H76-G76)</f>
        <v>499.64</v>
      </c>
      <c r="J76" s="94" t="s">
        <v>476</v>
      </c>
    </row>
    <row r="77" spans="1:10" s="30" customFormat="1" ht="112.5">
      <c r="A77" s="88">
        <v>24062200</v>
      </c>
      <c r="B77" s="154" t="s">
        <v>294</v>
      </c>
      <c r="C77" s="37">
        <v>4209.1109999999999</v>
      </c>
      <c r="D77" s="37">
        <v>14019.599</v>
      </c>
      <c r="E77" s="92">
        <f>D77-C77</f>
        <v>9810.4880000000012</v>
      </c>
      <c r="F77" s="93" t="s">
        <v>441</v>
      </c>
      <c r="G77" s="37"/>
      <c r="H77" s="37"/>
      <c r="I77" s="92"/>
      <c r="J77" s="96"/>
    </row>
    <row r="78" spans="1:10" s="30" customFormat="1" ht="37.5">
      <c r="A78" s="88">
        <v>24110700</v>
      </c>
      <c r="B78" s="154" t="s">
        <v>433</v>
      </c>
      <c r="C78" s="37"/>
      <c r="D78" s="37"/>
      <c r="E78" s="92"/>
      <c r="F78" s="93"/>
      <c r="G78" s="37">
        <v>2.4E-2</v>
      </c>
      <c r="H78" s="37">
        <v>2.9000000000000001E-2</v>
      </c>
      <c r="I78" s="92">
        <f>SUM(H78-G78)</f>
        <v>5.000000000000001E-3</v>
      </c>
      <c r="J78" s="94">
        <f>H78/G78*100</f>
        <v>120.83333333333333</v>
      </c>
    </row>
    <row r="79" spans="1:10" s="30" customFormat="1" ht="37.5">
      <c r="A79" s="88">
        <v>24110900</v>
      </c>
      <c r="B79" s="80" t="s">
        <v>295</v>
      </c>
      <c r="C79" s="37"/>
      <c r="D79" s="37"/>
      <c r="E79" s="92"/>
      <c r="F79" s="93"/>
      <c r="G79" s="37">
        <v>279.798</v>
      </c>
      <c r="H79" s="37">
        <v>231.61199999999999</v>
      </c>
      <c r="I79" s="92">
        <f>SUM(H79-G79)</f>
        <v>-48.186000000000007</v>
      </c>
      <c r="J79" s="94">
        <f>H79/G79*100</f>
        <v>82.778290052109014</v>
      </c>
    </row>
    <row r="80" spans="1:10" s="30" customFormat="1">
      <c r="A80" s="88">
        <v>24170000</v>
      </c>
      <c r="B80" s="122" t="s">
        <v>335</v>
      </c>
      <c r="C80" s="162"/>
      <c r="D80" s="37"/>
      <c r="E80" s="92"/>
      <c r="F80" s="93"/>
      <c r="G80" s="37">
        <v>110.754</v>
      </c>
      <c r="H80" s="37">
        <v>4669.8590000000004</v>
      </c>
      <c r="I80" s="92">
        <f>SUM(H80-G80)</f>
        <v>4559.1050000000005</v>
      </c>
      <c r="J80" s="94"/>
    </row>
    <row r="81" spans="1:10" s="30" customFormat="1">
      <c r="A81" s="88">
        <v>25000000</v>
      </c>
      <c r="B81" s="155" t="s">
        <v>296</v>
      </c>
      <c r="C81" s="37"/>
      <c r="D81" s="37"/>
      <c r="E81" s="92"/>
      <c r="F81" s="93"/>
      <c r="G81" s="86">
        <v>173408.29699999999</v>
      </c>
      <c r="H81" s="86">
        <v>227391.448</v>
      </c>
      <c r="I81" s="92">
        <f>SUM(H81-G81)</f>
        <v>53983.151000000013</v>
      </c>
      <c r="J81" s="94">
        <f>H81/G81*100</f>
        <v>131.13066210436287</v>
      </c>
    </row>
    <row r="82" spans="1:10" s="33" customFormat="1">
      <c r="A82" s="145">
        <v>30000000</v>
      </c>
      <c r="B82" s="150" t="s">
        <v>371</v>
      </c>
      <c r="C82" s="161">
        <f>C83+C84</f>
        <v>0.748</v>
      </c>
      <c r="D82" s="161">
        <f>D83+D84</f>
        <v>0.85199999999999998</v>
      </c>
      <c r="E82" s="90">
        <f>D82-C82</f>
        <v>0.10399999999999998</v>
      </c>
      <c r="F82" s="91">
        <f>D82/C82*100</f>
        <v>113.90374331550801</v>
      </c>
      <c r="G82" s="87">
        <f>G85</f>
        <v>118.92</v>
      </c>
      <c r="H82" s="87">
        <v>1799.6020000000001</v>
      </c>
      <c r="I82" s="90">
        <f>SUM(H82-G82)</f>
        <v>1680.682</v>
      </c>
      <c r="J82" s="97" t="s">
        <v>443</v>
      </c>
    </row>
    <row r="83" spans="1:10" s="33" customFormat="1" ht="56.25">
      <c r="A83" s="88">
        <v>31010200</v>
      </c>
      <c r="B83" s="155" t="s">
        <v>411</v>
      </c>
      <c r="C83" s="37">
        <v>0.748</v>
      </c>
      <c r="D83" s="37">
        <v>0.75</v>
      </c>
      <c r="E83" s="92">
        <f>D83-C83</f>
        <v>2.0000000000000018E-3</v>
      </c>
      <c r="F83" s="93">
        <f>D83/C83*100</f>
        <v>100.26737967914438</v>
      </c>
      <c r="G83" s="87"/>
      <c r="H83" s="87"/>
      <c r="I83" s="90"/>
      <c r="J83" s="97"/>
    </row>
    <row r="84" spans="1:10" s="33" customFormat="1">
      <c r="A84" s="88">
        <v>31020000</v>
      </c>
      <c r="B84" s="155" t="s">
        <v>372</v>
      </c>
      <c r="C84" s="37"/>
      <c r="D84" s="37">
        <v>0.10199999999999999</v>
      </c>
      <c r="E84" s="92">
        <f>D84-C84</f>
        <v>0.10199999999999999</v>
      </c>
      <c r="F84" s="93"/>
      <c r="G84" s="87"/>
      <c r="H84" s="87"/>
      <c r="I84" s="90"/>
      <c r="J84" s="97"/>
    </row>
    <row r="85" spans="1:10" s="33" customFormat="1" ht="56.25">
      <c r="A85" s="88">
        <v>33010100</v>
      </c>
      <c r="B85" s="155" t="s">
        <v>412</v>
      </c>
      <c r="C85" s="163"/>
      <c r="D85" s="163"/>
      <c r="E85" s="163"/>
      <c r="F85" s="163"/>
      <c r="G85" s="37">
        <v>118.92</v>
      </c>
      <c r="H85" s="37">
        <v>1799.6020000000001</v>
      </c>
      <c r="I85" s="92">
        <f>H85-G85</f>
        <v>1680.682</v>
      </c>
      <c r="J85" s="94" t="s">
        <v>443</v>
      </c>
    </row>
    <row r="86" spans="1:10" s="33" customFormat="1">
      <c r="A86" s="156" t="s">
        <v>375</v>
      </c>
      <c r="B86" s="157" t="s">
        <v>376</v>
      </c>
      <c r="C86" s="84"/>
      <c r="D86" s="161"/>
      <c r="E86" s="90"/>
      <c r="F86" s="91"/>
      <c r="G86" s="161">
        <v>32.942</v>
      </c>
      <c r="H86" s="161">
        <f>H87</f>
        <v>2.1960000000000002</v>
      </c>
      <c r="I86" s="90">
        <f>SUM(H86-G86)</f>
        <v>-30.745999999999999</v>
      </c>
      <c r="J86" s="97">
        <f>H86/G86*100</f>
        <v>6.6662619148806996</v>
      </c>
    </row>
    <row r="87" spans="1:10" s="30" customFormat="1" ht="37.5">
      <c r="A87" s="88">
        <v>50110000</v>
      </c>
      <c r="B87" s="155" t="s">
        <v>413</v>
      </c>
      <c r="C87" s="164"/>
      <c r="D87" s="164"/>
      <c r="E87" s="164"/>
      <c r="F87" s="93"/>
      <c r="G87" s="37">
        <v>32.942</v>
      </c>
      <c r="H87" s="37">
        <v>2.1960000000000002</v>
      </c>
      <c r="I87" s="92">
        <f>H87-G87</f>
        <v>-30.745999999999999</v>
      </c>
      <c r="J87" s="94">
        <f>H87/G87*100</f>
        <v>6.6662619148806996</v>
      </c>
    </row>
    <row r="88" spans="1:10" s="33" customFormat="1">
      <c r="A88" s="145"/>
      <c r="B88" s="99" t="s">
        <v>297</v>
      </c>
      <c r="C88" s="161">
        <f>C10+C50+C83+D81+C84</f>
        <v>4877029.17</v>
      </c>
      <c r="D88" s="161">
        <f>D10+D50+D82</f>
        <v>3924036.7880000002</v>
      </c>
      <c r="E88" s="90">
        <f>D88-C88</f>
        <v>-952992.38199999975</v>
      </c>
      <c r="F88" s="91">
        <f t="shared" si="2"/>
        <v>80.45957182577196</v>
      </c>
      <c r="G88" s="161">
        <f>G10+G50+G82+G86</f>
        <v>174626.22500000001</v>
      </c>
      <c r="H88" s="161">
        <f>H10+H50+H82+H86</f>
        <v>235601.95199999999</v>
      </c>
      <c r="I88" s="90">
        <f>SUM(H88-G88)</f>
        <v>60975.726999999984</v>
      </c>
      <c r="J88" s="97">
        <f>H88/G88*100</f>
        <v>134.91785211528222</v>
      </c>
    </row>
    <row r="89" spans="1:10" s="30" customFormat="1">
      <c r="A89" s="145">
        <v>40000000</v>
      </c>
      <c r="B89" s="99" t="s">
        <v>298</v>
      </c>
      <c r="C89" s="161">
        <f>C90+C92+C99+C101</f>
        <v>883523.91500000004</v>
      </c>
      <c r="D89" s="161">
        <f>D90+D91+D92+D99+D101</f>
        <v>1596020.8019999997</v>
      </c>
      <c r="E89" s="90">
        <f>D89-C89</f>
        <v>712496.88699999964</v>
      </c>
      <c r="F89" s="91" t="s">
        <v>366</v>
      </c>
      <c r="G89" s="161">
        <f>G90+G92+G99+G101</f>
        <v>188898.973</v>
      </c>
      <c r="H89" s="161">
        <f>H90+H92+H99+H101</f>
        <v>230551.77800000002</v>
      </c>
      <c r="I89" s="90">
        <f>SUM(H89-G89)</f>
        <v>41652.805000000022</v>
      </c>
      <c r="J89" s="91">
        <f t="shared" ref="J89" si="5">H89/G89*100</f>
        <v>122.05030781189055</v>
      </c>
    </row>
    <row r="90" spans="1:10" s="30" customFormat="1" ht="56.25">
      <c r="A90" s="146">
        <v>41021000</v>
      </c>
      <c r="B90" s="43" t="s">
        <v>347</v>
      </c>
      <c r="C90" s="37">
        <v>3947.3</v>
      </c>
      <c r="D90" s="37">
        <v>4539.5</v>
      </c>
      <c r="E90" s="92">
        <f>D90-C90</f>
        <v>592.19999999999982</v>
      </c>
      <c r="F90" s="93">
        <f t="shared" ref="F90:F112" si="6">D90/C90*100</f>
        <v>115.00266004610747</v>
      </c>
      <c r="G90" s="37"/>
      <c r="H90" s="37"/>
      <c r="I90" s="90"/>
      <c r="J90" s="96"/>
    </row>
    <row r="91" spans="1:10" s="30" customFormat="1" ht="75">
      <c r="A91" s="146">
        <v>41021400</v>
      </c>
      <c r="B91" s="122" t="s">
        <v>345</v>
      </c>
      <c r="C91" s="162"/>
      <c r="D91" s="37">
        <v>630910.4</v>
      </c>
      <c r="E91" s="92">
        <f>D91-C91</f>
        <v>630910.4</v>
      </c>
      <c r="F91" s="93"/>
      <c r="G91" s="37"/>
      <c r="H91" s="37"/>
      <c r="I91" s="90"/>
      <c r="J91" s="96"/>
    </row>
    <row r="92" spans="1:10" s="30" customFormat="1">
      <c r="A92" s="88">
        <v>41030000</v>
      </c>
      <c r="B92" s="43" t="s">
        <v>299</v>
      </c>
      <c r="C92" s="37">
        <f>C94+C97+C98</f>
        <v>704371.7</v>
      </c>
      <c r="D92" s="37">
        <f>D93+D94+D95+D96+D97+D98</f>
        <v>815552.821</v>
      </c>
      <c r="E92" s="92">
        <f>D92-C92</f>
        <v>111181.12100000004</v>
      </c>
      <c r="F92" s="93">
        <f t="shared" si="6"/>
        <v>115.78443895460309</v>
      </c>
      <c r="G92" s="37">
        <f>G93+G94+G97+G98</f>
        <v>188875.52299999999</v>
      </c>
      <c r="H92" s="37">
        <f>H93+H94+H95+H96+H97+H98</f>
        <v>228246.58200000002</v>
      </c>
      <c r="I92" s="92">
        <f t="shared" ref="I92:I95" si="7">SUM(H92-G92)</f>
        <v>39371.059000000037</v>
      </c>
      <c r="J92" s="93">
        <f t="shared" ref="J92:J93" si="8">H92/G92*100</f>
        <v>120.84497682635143</v>
      </c>
    </row>
    <row r="93" spans="1:10" s="30" customFormat="1" ht="56.25">
      <c r="A93" s="88">
        <v>41031700</v>
      </c>
      <c r="B93" s="43" t="s">
        <v>385</v>
      </c>
      <c r="C93" s="37"/>
      <c r="D93" s="37"/>
      <c r="E93" s="92"/>
      <c r="F93" s="93"/>
      <c r="G93" s="37">
        <v>188875.52299999999</v>
      </c>
      <c r="H93" s="37">
        <v>211585.38200000001</v>
      </c>
      <c r="I93" s="92">
        <f t="shared" si="7"/>
        <v>22709.859000000026</v>
      </c>
      <c r="J93" s="93">
        <f t="shared" si="8"/>
        <v>112.02371733472316</v>
      </c>
    </row>
    <row r="94" spans="1:10" s="30" customFormat="1" ht="37.5">
      <c r="A94" s="88">
        <v>41032800</v>
      </c>
      <c r="B94" s="43" t="s">
        <v>373</v>
      </c>
      <c r="C94" s="37"/>
      <c r="D94" s="37">
        <v>7646.7960000000003</v>
      </c>
      <c r="E94" s="92">
        <f t="shared" ref="E94:E100" si="9">D94-C94</f>
        <v>7646.7960000000003</v>
      </c>
      <c r="F94" s="93"/>
      <c r="G94" s="37"/>
      <c r="H94" s="37"/>
      <c r="I94" s="92"/>
      <c r="J94" s="96"/>
    </row>
    <row r="95" spans="1:10" s="30" customFormat="1" ht="37.5">
      <c r="A95" s="88">
        <v>41033300</v>
      </c>
      <c r="B95" s="43" t="s">
        <v>427</v>
      </c>
      <c r="C95" s="37"/>
      <c r="D95" s="37">
        <v>842.53200000000004</v>
      </c>
      <c r="E95" s="92">
        <f t="shared" si="9"/>
        <v>842.53200000000004</v>
      </c>
      <c r="F95" s="93"/>
      <c r="G95" s="37"/>
      <c r="H95" s="37">
        <v>16661.2</v>
      </c>
      <c r="I95" s="92">
        <f t="shared" si="7"/>
        <v>16661.2</v>
      </c>
      <c r="J95" s="96"/>
    </row>
    <row r="96" spans="1:10" s="30" customFormat="1" ht="56.25">
      <c r="A96" s="88">
        <v>41033500</v>
      </c>
      <c r="B96" s="43" t="s">
        <v>414</v>
      </c>
      <c r="C96" s="37"/>
      <c r="D96" s="37">
        <v>7615.1270000000004</v>
      </c>
      <c r="E96" s="92">
        <f t="shared" si="9"/>
        <v>7615.1270000000004</v>
      </c>
      <c r="F96" s="93"/>
      <c r="G96" s="37"/>
      <c r="H96" s="37"/>
      <c r="I96" s="92"/>
      <c r="J96" s="96"/>
    </row>
    <row r="97" spans="1:10" s="30" customFormat="1" ht="37.5">
      <c r="A97" s="88">
        <v>41033800</v>
      </c>
      <c r="B97" s="43" t="s">
        <v>374</v>
      </c>
      <c r="C97" s="37"/>
      <c r="D97" s="37">
        <v>4561.866</v>
      </c>
      <c r="E97" s="92">
        <f t="shared" si="9"/>
        <v>4561.866</v>
      </c>
      <c r="F97" s="93"/>
      <c r="G97" s="37"/>
      <c r="H97" s="37"/>
      <c r="I97" s="92"/>
      <c r="J97" s="96"/>
    </row>
    <row r="98" spans="1:10" s="30" customFormat="1">
      <c r="A98" s="88">
        <v>41033900</v>
      </c>
      <c r="B98" s="43" t="s">
        <v>300</v>
      </c>
      <c r="C98" s="37">
        <v>704371.7</v>
      </c>
      <c r="D98" s="37">
        <v>794886.5</v>
      </c>
      <c r="E98" s="92">
        <f t="shared" si="9"/>
        <v>90514.800000000047</v>
      </c>
      <c r="F98" s="93">
        <f t="shared" si="6"/>
        <v>112.8504311005113</v>
      </c>
      <c r="G98" s="37"/>
      <c r="H98" s="37"/>
      <c r="I98" s="92"/>
      <c r="J98" s="93"/>
    </row>
    <row r="99" spans="1:10" s="34" customFormat="1">
      <c r="A99" s="88">
        <v>41040000</v>
      </c>
      <c r="B99" s="122" t="s">
        <v>333</v>
      </c>
      <c r="C99" s="82">
        <f>C100</f>
        <v>3431.4270000000001</v>
      </c>
      <c r="D99" s="37">
        <f>D100</f>
        <v>367.38</v>
      </c>
      <c r="E99" s="92">
        <f t="shared" si="9"/>
        <v>-3064.047</v>
      </c>
      <c r="F99" s="93">
        <f>D99/C99*100</f>
        <v>10.706332962933496</v>
      </c>
      <c r="G99" s="37"/>
      <c r="H99" s="37"/>
      <c r="I99" s="92"/>
      <c r="J99" s="96"/>
    </row>
    <row r="100" spans="1:10" s="33" customFormat="1">
      <c r="A100" s="88">
        <v>41040400</v>
      </c>
      <c r="B100" s="122" t="s">
        <v>332</v>
      </c>
      <c r="C100" s="83">
        <v>3431.4270000000001</v>
      </c>
      <c r="D100" s="37">
        <v>367.38</v>
      </c>
      <c r="E100" s="92">
        <f t="shared" si="9"/>
        <v>-3064.047</v>
      </c>
      <c r="F100" s="93">
        <f t="shared" si="6"/>
        <v>10.706332962933496</v>
      </c>
      <c r="G100" s="37"/>
      <c r="H100" s="37"/>
      <c r="I100" s="92"/>
      <c r="J100" s="96"/>
    </row>
    <row r="101" spans="1:10" s="30" customFormat="1">
      <c r="A101" s="89">
        <v>41050000</v>
      </c>
      <c r="B101" s="155" t="s">
        <v>301</v>
      </c>
      <c r="C101" s="37">
        <f>C105+C107+C110+C111+C102+C103+C104+C109</f>
        <v>171773.48799999998</v>
      </c>
      <c r="D101" s="37">
        <f>D102+D103+D104+D105+D107+D108+D109+D110+D111</f>
        <v>144650.701</v>
      </c>
      <c r="E101" s="92">
        <f t="shared" ref="E101:E112" si="10">D101-C101</f>
        <v>-27122.786999999982</v>
      </c>
      <c r="F101" s="93">
        <f t="shared" si="6"/>
        <v>84.210143651504595</v>
      </c>
      <c r="G101" s="37">
        <f>G105</f>
        <v>23.45</v>
      </c>
      <c r="H101" s="37">
        <f>H102+H103+H104+H105+H106+H107+H108+H109+H110+H111</f>
        <v>2305.1959999999999</v>
      </c>
      <c r="I101" s="92">
        <f t="shared" ref="I101" si="11">H101-G101</f>
        <v>2281.7460000000001</v>
      </c>
      <c r="J101" s="93" t="s">
        <v>444</v>
      </c>
    </row>
    <row r="102" spans="1:10" s="30" customFormat="1" ht="206.25">
      <c r="A102" s="89">
        <v>41050400</v>
      </c>
      <c r="B102" s="155" t="s">
        <v>483</v>
      </c>
      <c r="C102" s="37">
        <v>14017.012000000001</v>
      </c>
      <c r="D102" s="37">
        <v>39757.548999999999</v>
      </c>
      <c r="E102" s="92">
        <f t="shared" si="10"/>
        <v>25740.536999999997</v>
      </c>
      <c r="F102" s="93" t="s">
        <v>472</v>
      </c>
      <c r="G102" s="37"/>
      <c r="H102" s="37"/>
      <c r="I102" s="92"/>
      <c r="J102" s="96"/>
    </row>
    <row r="103" spans="1:10" s="30" customFormat="1" ht="150">
      <c r="A103" s="89">
        <v>41050500</v>
      </c>
      <c r="B103" s="155" t="s">
        <v>484</v>
      </c>
      <c r="C103" s="37"/>
      <c r="D103" s="37">
        <v>1899.7940000000001</v>
      </c>
      <c r="E103" s="92">
        <f t="shared" si="10"/>
        <v>1899.7940000000001</v>
      </c>
      <c r="F103" s="93"/>
      <c r="G103" s="37"/>
      <c r="H103" s="37"/>
      <c r="I103" s="92"/>
      <c r="J103" s="96"/>
    </row>
    <row r="104" spans="1:10" s="30" customFormat="1" ht="225">
      <c r="A104" s="89">
        <v>41050600</v>
      </c>
      <c r="B104" s="155" t="s">
        <v>485</v>
      </c>
      <c r="C104" s="37">
        <v>135447.59099999999</v>
      </c>
      <c r="D104" s="37">
        <v>73401.384000000005</v>
      </c>
      <c r="E104" s="92">
        <f t="shared" si="10"/>
        <v>-62046.20699999998</v>
      </c>
      <c r="F104" s="93">
        <f>D104/C104*100</f>
        <v>54.191723498426789</v>
      </c>
      <c r="G104" s="37"/>
      <c r="H104" s="37"/>
      <c r="I104" s="92"/>
      <c r="J104" s="96"/>
    </row>
    <row r="105" spans="1:10" s="30" customFormat="1" ht="37.5">
      <c r="A105" s="89">
        <v>41051000</v>
      </c>
      <c r="B105" s="128" t="s">
        <v>302</v>
      </c>
      <c r="C105" s="37">
        <v>12375.13</v>
      </c>
      <c r="D105" s="37">
        <v>12628.415999999999</v>
      </c>
      <c r="E105" s="92">
        <f t="shared" si="10"/>
        <v>253.28600000000006</v>
      </c>
      <c r="F105" s="93">
        <f t="shared" si="6"/>
        <v>102.04673405451095</v>
      </c>
      <c r="G105" s="37">
        <v>23.45</v>
      </c>
      <c r="H105" s="37"/>
      <c r="I105" s="92">
        <f>SUM(H105-G105)</f>
        <v>-23.45</v>
      </c>
      <c r="J105" s="96"/>
    </row>
    <row r="106" spans="1:10" s="30" customFormat="1" ht="37.5">
      <c r="A106" s="89">
        <v>41051100</v>
      </c>
      <c r="B106" s="128" t="s">
        <v>434</v>
      </c>
      <c r="C106" s="37"/>
      <c r="D106" s="37"/>
      <c r="E106" s="92"/>
      <c r="F106" s="93"/>
      <c r="G106" s="37"/>
      <c r="H106" s="37">
        <v>2305.1959999999999</v>
      </c>
      <c r="I106" s="92">
        <f>SUM(H106-G106)</f>
        <v>2305.1959999999999</v>
      </c>
      <c r="J106" s="96"/>
    </row>
    <row r="107" spans="1:10" s="30" customFormat="1" ht="37.5">
      <c r="A107" s="148" t="s">
        <v>303</v>
      </c>
      <c r="B107" s="110" t="s">
        <v>304</v>
      </c>
      <c r="C107" s="37">
        <v>4129.0469999999996</v>
      </c>
      <c r="D107" s="37"/>
      <c r="E107" s="92">
        <f t="shared" si="10"/>
        <v>-4129.0469999999996</v>
      </c>
      <c r="F107" s="93"/>
      <c r="G107" s="37"/>
      <c r="H107" s="37"/>
      <c r="I107" s="92"/>
      <c r="J107" s="96"/>
    </row>
    <row r="108" spans="1:10" s="30" customFormat="1" ht="37.5">
      <c r="A108" s="148" t="s">
        <v>428</v>
      </c>
      <c r="B108" s="110" t="s">
        <v>429</v>
      </c>
      <c r="C108" s="37"/>
      <c r="D108" s="37">
        <v>7755.9430000000002</v>
      </c>
      <c r="E108" s="92"/>
      <c r="F108" s="93"/>
      <c r="G108" s="37"/>
      <c r="H108" s="37"/>
      <c r="I108" s="92"/>
      <c r="J108" s="96"/>
    </row>
    <row r="109" spans="1:10" s="30" customFormat="1" ht="56.25">
      <c r="A109" s="148" t="s">
        <v>415</v>
      </c>
      <c r="B109" s="110" t="s">
        <v>416</v>
      </c>
      <c r="C109" s="37"/>
      <c r="D109" s="37">
        <v>3607.9560000000001</v>
      </c>
      <c r="E109" s="92">
        <f t="shared" si="10"/>
        <v>3607.9560000000001</v>
      </c>
      <c r="F109" s="93"/>
      <c r="G109" s="37"/>
      <c r="H109" s="37"/>
      <c r="I109" s="92"/>
      <c r="J109" s="96"/>
    </row>
    <row r="110" spans="1:10" s="30" customFormat="1">
      <c r="A110" s="148" t="s">
        <v>305</v>
      </c>
      <c r="B110" s="158" t="s">
        <v>191</v>
      </c>
      <c r="C110" s="37">
        <v>5736.0460000000003</v>
      </c>
      <c r="D110" s="37">
        <v>5485.3209999999999</v>
      </c>
      <c r="E110" s="92">
        <f t="shared" si="10"/>
        <v>-250.72500000000036</v>
      </c>
      <c r="F110" s="93">
        <f t="shared" si="6"/>
        <v>95.628957647829182</v>
      </c>
      <c r="G110" s="37"/>
      <c r="H110" s="37"/>
      <c r="I110" s="92"/>
      <c r="J110" s="96"/>
    </row>
    <row r="111" spans="1:10" s="30" customFormat="1" ht="56.25">
      <c r="A111" s="148" t="s">
        <v>334</v>
      </c>
      <c r="B111" s="122" t="s">
        <v>346</v>
      </c>
      <c r="C111" s="83">
        <v>68.662000000000006</v>
      </c>
      <c r="D111" s="37">
        <v>114.33799999999999</v>
      </c>
      <c r="E111" s="92">
        <f t="shared" si="10"/>
        <v>45.675999999999988</v>
      </c>
      <c r="F111" s="93" t="s">
        <v>365</v>
      </c>
      <c r="G111" s="37"/>
      <c r="H111" s="37"/>
      <c r="I111" s="92"/>
      <c r="J111" s="96"/>
    </row>
    <row r="112" spans="1:10" s="33" customFormat="1">
      <c r="A112" s="98"/>
      <c r="B112" s="99" t="s">
        <v>306</v>
      </c>
      <c r="C112" s="161">
        <f>C88+C89</f>
        <v>5760553.085</v>
      </c>
      <c r="D112" s="161">
        <f>D88+D89</f>
        <v>5520057.5899999999</v>
      </c>
      <c r="E112" s="90">
        <f t="shared" si="10"/>
        <v>-240495.49500000011</v>
      </c>
      <c r="F112" s="91">
        <f t="shared" si="6"/>
        <v>95.825131867524476</v>
      </c>
      <c r="G112" s="161">
        <f>G88+G89</f>
        <v>363525.19799999997</v>
      </c>
      <c r="H112" s="161">
        <f>H88+H89</f>
        <v>466153.73</v>
      </c>
      <c r="I112" s="90">
        <f>H112-G112</f>
        <v>102628.53200000001</v>
      </c>
      <c r="J112" s="97">
        <f>H112/G112*100</f>
        <v>128.23147681773631</v>
      </c>
    </row>
    <row r="113" spans="1:90" s="9" customFormat="1" ht="22.5">
      <c r="A113" s="205" t="s">
        <v>321</v>
      </c>
      <c r="B113" s="205"/>
      <c r="C113" s="205"/>
      <c r="D113" s="205"/>
      <c r="E113" s="205"/>
      <c r="F113" s="205"/>
      <c r="G113" s="205"/>
      <c r="H113" s="205"/>
      <c r="I113" s="205"/>
      <c r="J113" s="205"/>
    </row>
    <row r="114" spans="1:90" s="9" customFormat="1" ht="20.25">
      <c r="A114" s="117" t="s">
        <v>30</v>
      </c>
      <c r="B114" s="45" t="s">
        <v>4</v>
      </c>
      <c r="C114" s="90">
        <f>SUM(C115:C117)</f>
        <v>396783.08600000001</v>
      </c>
      <c r="D114" s="90">
        <f>SUM(D115:D117)</f>
        <v>474047.63199999998</v>
      </c>
      <c r="E114" s="90">
        <f t="shared" ref="E114:E122" si="12">SUM(D114-C114)</f>
        <v>77264.545999999973</v>
      </c>
      <c r="F114" s="91">
        <f t="shared" ref="F114:F117" si="13">SUM(D114/C114*100)</f>
        <v>119.47274183960552</v>
      </c>
      <c r="G114" s="90">
        <f>SUM(G115:G117)</f>
        <v>31090.152999999998</v>
      </c>
      <c r="H114" s="90">
        <f>SUM(H115:H117)</f>
        <v>38818.754999999997</v>
      </c>
      <c r="I114" s="90">
        <f>SUM(H114-G114)</f>
        <v>7728.601999999999</v>
      </c>
      <c r="J114" s="91">
        <f t="shared" ref="J114:J115" si="14">SUM(H114/G114*100)</f>
        <v>124.85868113933051</v>
      </c>
    </row>
    <row r="115" spans="1:90">
      <c r="A115" s="41" t="s">
        <v>123</v>
      </c>
      <c r="B115" s="76" t="s">
        <v>5</v>
      </c>
      <c r="C115" s="165">
        <f>396783.086-1226.402</f>
        <v>395556.68400000001</v>
      </c>
      <c r="D115" s="165">
        <f>474047.632-1240.671</f>
        <v>472806.96100000001</v>
      </c>
      <c r="E115" s="92">
        <f t="shared" si="12"/>
        <v>77250.277000000002</v>
      </c>
      <c r="F115" s="93">
        <f t="shared" si="13"/>
        <v>119.52950869615439</v>
      </c>
      <c r="G115" s="165">
        <v>31090.152999999998</v>
      </c>
      <c r="H115" s="165">
        <v>38818.754999999997</v>
      </c>
      <c r="I115" s="92">
        <f>SUM(H115-G115)</f>
        <v>7728.601999999999</v>
      </c>
      <c r="J115" s="93">
        <f t="shared" si="14"/>
        <v>124.85868113933051</v>
      </c>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row>
    <row r="116" spans="1:90">
      <c r="A116" s="41" t="s">
        <v>354</v>
      </c>
      <c r="B116" s="76" t="s">
        <v>355</v>
      </c>
      <c r="C116" s="165">
        <v>3.86</v>
      </c>
      <c r="D116" s="165">
        <v>90.5</v>
      </c>
      <c r="E116" s="92">
        <f t="shared" ref="E116" si="15">SUM(D116-C116)</f>
        <v>86.64</v>
      </c>
      <c r="F116" s="93" t="s">
        <v>475</v>
      </c>
      <c r="G116" s="165"/>
      <c r="H116" s="165"/>
      <c r="I116" s="92"/>
      <c r="J116" s="93"/>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row>
    <row r="117" spans="1:90">
      <c r="A117" s="41" t="s">
        <v>203</v>
      </c>
      <c r="B117" s="76" t="s">
        <v>204</v>
      </c>
      <c r="C117" s="165">
        <f>300+253.046+43.208+63.022+283.628+279.638</f>
        <v>1222.5419999999999</v>
      </c>
      <c r="D117" s="165">
        <f>920.4+22.641+8.024+8.518+46.465+74.406+69.717</f>
        <v>1150.171</v>
      </c>
      <c r="E117" s="92">
        <f t="shared" si="12"/>
        <v>-72.370999999999867</v>
      </c>
      <c r="F117" s="93">
        <f t="shared" si="13"/>
        <v>94.080285176296613</v>
      </c>
      <c r="G117" s="165"/>
      <c r="H117" s="165"/>
      <c r="I117" s="92"/>
      <c r="J117" s="94"/>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row>
    <row r="118" spans="1:90" ht="20.25">
      <c r="A118" s="117" t="s">
        <v>31</v>
      </c>
      <c r="B118" s="75" t="s">
        <v>6</v>
      </c>
      <c r="C118" s="90">
        <f>C119+C120+C123+C127+C128+C129+C132+C134+C137+C140+C133+C144+C145+C126+C141+C146+C149+C152+C156+C159+C155</f>
        <v>1803548.0250000001</v>
      </c>
      <c r="D118" s="90">
        <f>D119+D120+D123+D127+D128+D129+D132+D134+D137+D140+D133+D144+D145+D126+D141+D146+D149+D152+D156+D159+D155</f>
        <v>2072531.3969999996</v>
      </c>
      <c r="E118" s="90">
        <f>E119+E120+E123+E127+E128+E129+E132+E134+E137+E140+E133+E144+E145+E126+E141+E146+E149+E152+E156+E159+E155</f>
        <v>268983.37199999997</v>
      </c>
      <c r="F118" s="91">
        <f>SUM(D118/C118*100)</f>
        <v>114.91412306583848</v>
      </c>
      <c r="G118" s="90">
        <f t="shared" ref="G118:I118" si="16">G119+G120+G123+G127+G128+G129+G132+G134+G137+G140+G133+G144+G145+G126+G141+G146+G149+G152+G156+G159+G155</f>
        <v>132275.52899999998</v>
      </c>
      <c r="H118" s="90">
        <f t="shared" si="16"/>
        <v>229856.69899999999</v>
      </c>
      <c r="I118" s="90">
        <f t="shared" si="16"/>
        <v>97581.170000000013</v>
      </c>
      <c r="J118" s="97" t="s">
        <v>490</v>
      </c>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row>
    <row r="119" spans="1:90">
      <c r="A119" s="41" t="s">
        <v>32</v>
      </c>
      <c r="B119" s="76" t="s">
        <v>211</v>
      </c>
      <c r="C119" s="166">
        <f>466355.833+3249.352</f>
        <v>469605.185</v>
      </c>
      <c r="D119" s="166">
        <f>571169.391+3.317</f>
        <v>571172.70799999998</v>
      </c>
      <c r="E119" s="92">
        <f t="shared" si="12"/>
        <v>101567.52299999999</v>
      </c>
      <c r="F119" s="93">
        <f>SUM(D119/C119*100)</f>
        <v>121.62827972182633</v>
      </c>
      <c r="G119" s="37">
        <f>21996.031+98.788</f>
        <v>22094.819</v>
      </c>
      <c r="H119" s="37">
        <f>41595.437+6750.042</f>
        <v>48345.478999999999</v>
      </c>
      <c r="I119" s="92">
        <f>SUM(H119-G119)</f>
        <v>26250.66</v>
      </c>
      <c r="J119" s="94" t="s">
        <v>491</v>
      </c>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row>
    <row r="120" spans="1:90" s="7" customFormat="1">
      <c r="A120" s="41" t="s">
        <v>33</v>
      </c>
      <c r="B120" s="76" t="s">
        <v>221</v>
      </c>
      <c r="C120" s="37">
        <f>SUM(C121:C122)</f>
        <v>300341.42700000003</v>
      </c>
      <c r="D120" s="37">
        <f>D121+D122</f>
        <v>317123.511</v>
      </c>
      <c r="E120" s="92">
        <f t="shared" si="12"/>
        <v>16782.083999999973</v>
      </c>
      <c r="F120" s="93">
        <f t="shared" ref="F120:F144" si="17">SUM(D120/C120*100)</f>
        <v>105.58766873009495</v>
      </c>
      <c r="G120" s="37">
        <f>SUM(G121:G122)</f>
        <v>71460.142999999996</v>
      </c>
      <c r="H120" s="37">
        <f>SUM(H121:H122)</f>
        <v>120776.348</v>
      </c>
      <c r="I120" s="92">
        <f>SUM(H120-G120)</f>
        <v>49316.205000000002</v>
      </c>
      <c r="J120" s="94" t="s">
        <v>490</v>
      </c>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row>
    <row r="121" spans="1:90" ht="37.5">
      <c r="A121" s="41" t="s">
        <v>307</v>
      </c>
      <c r="B121" s="76" t="s">
        <v>338</v>
      </c>
      <c r="C121" s="166">
        <f>286535.106+3151.084</f>
        <v>289686.19</v>
      </c>
      <c r="D121" s="37">
        <f>305597.593+1344.685</f>
        <v>306942.27799999999</v>
      </c>
      <c r="E121" s="92">
        <f t="shared" si="12"/>
        <v>17256.087999999989</v>
      </c>
      <c r="F121" s="93">
        <f t="shared" si="17"/>
        <v>105.95682106903335</v>
      </c>
      <c r="G121" s="37">
        <f>63483.083+7502.827</f>
        <v>70985.91</v>
      </c>
      <c r="H121" s="37">
        <f>107438.923+12845.011</f>
        <v>120283.93399999999</v>
      </c>
      <c r="I121" s="92">
        <f>SUM(H121-G121)</f>
        <v>49298.02399999999</v>
      </c>
      <c r="J121" s="94" t="s">
        <v>490</v>
      </c>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row>
    <row r="122" spans="1:90" ht="56.25">
      <c r="A122" s="41" t="s">
        <v>222</v>
      </c>
      <c r="B122" s="76" t="s">
        <v>339</v>
      </c>
      <c r="C122" s="166">
        <f>10650.065+5.172</f>
        <v>10655.237000000001</v>
      </c>
      <c r="D122" s="166">
        <f>8806.51+1374.723</f>
        <v>10181.233</v>
      </c>
      <c r="E122" s="92">
        <f t="shared" si="12"/>
        <v>-474.00400000000081</v>
      </c>
      <c r="F122" s="93">
        <f t="shared" si="17"/>
        <v>95.55144573508781</v>
      </c>
      <c r="G122" s="37">
        <v>474.233</v>
      </c>
      <c r="H122" s="37">
        <f>492.414</f>
        <v>492.41399999999999</v>
      </c>
      <c r="I122" s="92">
        <f>SUM(H122-G122)</f>
        <v>18.180999999999983</v>
      </c>
      <c r="J122" s="94">
        <f t="shared" ref="J122:J155" si="18">SUM(H122/G122*100)</f>
        <v>103.83376947618575</v>
      </c>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row>
    <row r="123" spans="1:90" s="7" customFormat="1">
      <c r="A123" s="41" t="s">
        <v>34</v>
      </c>
      <c r="B123" s="118" t="s">
        <v>223</v>
      </c>
      <c r="C123" s="37">
        <f>SUM(C124:C125)</f>
        <v>681847.39500000002</v>
      </c>
      <c r="D123" s="37">
        <f>SUM(D124:D125)</f>
        <v>776824.29200000002</v>
      </c>
      <c r="E123" s="92">
        <f>SUM(D123-C123)</f>
        <v>94976.896999999997</v>
      </c>
      <c r="F123" s="93">
        <f t="shared" si="17"/>
        <v>113.92934807648565</v>
      </c>
      <c r="G123" s="167"/>
      <c r="H123" s="167"/>
      <c r="I123" s="168"/>
      <c r="J123" s="94"/>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row>
    <row r="124" spans="1:90" ht="37.5">
      <c r="A124" s="41" t="s">
        <v>224</v>
      </c>
      <c r="B124" s="76" t="s">
        <v>340</v>
      </c>
      <c r="C124" s="166">
        <v>674774.54399999999</v>
      </c>
      <c r="D124" s="166">
        <v>769204.57700000005</v>
      </c>
      <c r="E124" s="92">
        <f>SUM(D124-C124)</f>
        <v>94430.033000000054</v>
      </c>
      <c r="F124" s="93">
        <f t="shared" si="17"/>
        <v>113.99430874203222</v>
      </c>
      <c r="G124" s="37"/>
      <c r="H124" s="37"/>
      <c r="I124" s="168"/>
      <c r="J124" s="94"/>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row>
    <row r="125" spans="1:90" ht="37.5">
      <c r="A125" s="41" t="s">
        <v>225</v>
      </c>
      <c r="B125" s="76" t="s">
        <v>341</v>
      </c>
      <c r="C125" s="37">
        <v>7072.8509999999997</v>
      </c>
      <c r="D125" s="37">
        <v>7619.7150000000001</v>
      </c>
      <c r="E125" s="92">
        <f>SUM(D125-C125)</f>
        <v>546.86400000000049</v>
      </c>
      <c r="F125" s="93">
        <f t="shared" si="17"/>
        <v>107.73187502465413</v>
      </c>
      <c r="G125" s="37"/>
      <c r="H125" s="37"/>
      <c r="I125" s="168"/>
      <c r="J125" s="94"/>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row>
    <row r="126" spans="1:90" ht="93.75">
      <c r="A126" s="41" t="s">
        <v>401</v>
      </c>
      <c r="B126" s="76" t="s">
        <v>402</v>
      </c>
      <c r="C126" s="37"/>
      <c r="D126" s="37">
        <v>2349.9969999999998</v>
      </c>
      <c r="E126" s="92">
        <f>SUM(D126-C126)</f>
        <v>2349.9969999999998</v>
      </c>
      <c r="F126" s="93"/>
      <c r="G126" s="37"/>
      <c r="H126" s="37">
        <v>6358.5150000000003</v>
      </c>
      <c r="I126" s="92">
        <f>SUM(H126-G126)</f>
        <v>6358.5150000000003</v>
      </c>
      <c r="J126" s="94"/>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row>
    <row r="127" spans="1:90" ht="37.5">
      <c r="A127" s="41" t="s">
        <v>226</v>
      </c>
      <c r="B127" s="76" t="s">
        <v>227</v>
      </c>
      <c r="C127" s="166">
        <v>38569.480000000003</v>
      </c>
      <c r="D127" s="166">
        <v>49504.142999999996</v>
      </c>
      <c r="E127" s="92">
        <f>SUM(D127-C127)</f>
        <v>10934.662999999993</v>
      </c>
      <c r="F127" s="93">
        <f t="shared" si="17"/>
        <v>128.35055852451211</v>
      </c>
      <c r="G127" s="37">
        <v>1694.8219999999999</v>
      </c>
      <c r="H127" s="37">
        <v>1054.664</v>
      </c>
      <c r="I127" s="92">
        <f>SUM(H127-G127)</f>
        <v>-640.1579999999999</v>
      </c>
      <c r="J127" s="94">
        <f t="shared" si="18"/>
        <v>62.228599817561971</v>
      </c>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row>
    <row r="128" spans="1:90">
      <c r="A128" s="42" t="s">
        <v>217</v>
      </c>
      <c r="B128" s="74" t="s">
        <v>212</v>
      </c>
      <c r="C128" s="166">
        <v>68879.198999999993</v>
      </c>
      <c r="D128" s="166">
        <v>70497.789000000004</v>
      </c>
      <c r="E128" s="92">
        <f t="shared" ref="E128" si="19">SUM(D128-C128)</f>
        <v>1618.5900000000111</v>
      </c>
      <c r="F128" s="93">
        <f t="shared" si="17"/>
        <v>102.34989666473911</v>
      </c>
      <c r="G128" s="169">
        <v>3541.1880000000001</v>
      </c>
      <c r="H128" s="169">
        <v>5999.8810000000003</v>
      </c>
      <c r="I128" s="92">
        <f>SUM(H128-G128)</f>
        <v>2458.6930000000002</v>
      </c>
      <c r="J128" s="94" t="s">
        <v>490</v>
      </c>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row>
    <row r="129" spans="1:90" s="7" customFormat="1" ht="37.5">
      <c r="A129" s="42" t="s">
        <v>35</v>
      </c>
      <c r="B129" s="80" t="s">
        <v>213</v>
      </c>
      <c r="C129" s="37">
        <f>C130+C131</f>
        <v>185271.764</v>
      </c>
      <c r="D129" s="37">
        <f>SUM(D130:D131)</f>
        <v>202889.37299999999</v>
      </c>
      <c r="E129" s="92">
        <f t="shared" ref="E129:E143" si="20">SUM(D129-C129)</f>
        <v>17617.608999999997</v>
      </c>
      <c r="F129" s="93">
        <f t="shared" si="17"/>
        <v>109.5090631295549</v>
      </c>
      <c r="G129" s="37">
        <f>G130</f>
        <v>22236.528999999999</v>
      </c>
      <c r="H129" s="37">
        <f>H130</f>
        <v>14977.419</v>
      </c>
      <c r="I129" s="92">
        <f>SUM(H129-G129)</f>
        <v>-7259.1099999999988</v>
      </c>
      <c r="J129" s="94">
        <f t="shared" si="18"/>
        <v>67.355022000061254</v>
      </c>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row>
    <row r="130" spans="1:90" ht="37.5">
      <c r="A130" s="42" t="s">
        <v>228</v>
      </c>
      <c r="B130" s="80" t="s">
        <v>229</v>
      </c>
      <c r="C130" s="37">
        <v>170138.726</v>
      </c>
      <c r="D130" s="37">
        <v>184210.09899999999</v>
      </c>
      <c r="E130" s="92">
        <f t="shared" si="20"/>
        <v>14071.372999999992</v>
      </c>
      <c r="F130" s="93">
        <f t="shared" si="17"/>
        <v>108.27052919157276</v>
      </c>
      <c r="G130" s="37">
        <v>22236.528999999999</v>
      </c>
      <c r="H130" s="169">
        <v>14977.419</v>
      </c>
      <c r="I130" s="92">
        <f>SUM(H130-G130)</f>
        <v>-7259.1099999999988</v>
      </c>
      <c r="J130" s="94">
        <f t="shared" si="18"/>
        <v>67.355022000061254</v>
      </c>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row>
    <row r="131" spans="1:90" ht="37.5">
      <c r="A131" s="42" t="s">
        <v>230</v>
      </c>
      <c r="B131" s="80" t="s">
        <v>240</v>
      </c>
      <c r="C131" s="37">
        <v>15133.038</v>
      </c>
      <c r="D131" s="37">
        <v>18679.274000000001</v>
      </c>
      <c r="E131" s="92">
        <f t="shared" si="20"/>
        <v>3546.2360000000008</v>
      </c>
      <c r="F131" s="93">
        <f t="shared" si="17"/>
        <v>123.43373485218237</v>
      </c>
      <c r="G131" s="37"/>
      <c r="H131" s="37"/>
      <c r="I131" s="92"/>
      <c r="J131" s="94"/>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row>
    <row r="132" spans="1:90">
      <c r="A132" s="41" t="s">
        <v>231</v>
      </c>
      <c r="B132" s="110" t="s">
        <v>326</v>
      </c>
      <c r="C132" s="166">
        <v>7251.6130000000003</v>
      </c>
      <c r="D132" s="166">
        <v>6686.982</v>
      </c>
      <c r="E132" s="92">
        <f t="shared" si="20"/>
        <v>-564.63100000000031</v>
      </c>
      <c r="F132" s="93">
        <f t="shared" si="17"/>
        <v>92.213718520279556</v>
      </c>
      <c r="G132" s="37">
        <v>695.63300000000004</v>
      </c>
      <c r="H132" s="169">
        <v>441.56099999999998</v>
      </c>
      <c r="I132" s="92">
        <f>SUM(H132-G132)</f>
        <v>-254.07200000000006</v>
      </c>
      <c r="J132" s="94">
        <f t="shared" si="18"/>
        <v>63.476143311200005</v>
      </c>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row>
    <row r="133" spans="1:90">
      <c r="A133" s="41" t="s">
        <v>324</v>
      </c>
      <c r="B133" s="119" t="s">
        <v>325</v>
      </c>
      <c r="C133" s="166">
        <v>168.29</v>
      </c>
      <c r="D133" s="166">
        <v>0</v>
      </c>
      <c r="E133" s="92">
        <f t="shared" si="20"/>
        <v>-168.29</v>
      </c>
      <c r="F133" s="93">
        <f>SUM(D133/C133*100)</f>
        <v>0</v>
      </c>
      <c r="G133" s="37"/>
      <c r="H133" s="169"/>
      <c r="I133" s="92"/>
      <c r="J133" s="94"/>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row>
    <row r="134" spans="1:90" s="7" customFormat="1">
      <c r="A134" s="42" t="s">
        <v>232</v>
      </c>
      <c r="B134" s="80" t="s">
        <v>188</v>
      </c>
      <c r="C134" s="37">
        <f>C135+C136</f>
        <v>31471.316999999999</v>
      </c>
      <c r="D134" s="37">
        <f>D135+D136</f>
        <v>42389.521999999997</v>
      </c>
      <c r="E134" s="92">
        <f t="shared" si="20"/>
        <v>10918.204999999998</v>
      </c>
      <c r="F134" s="93">
        <f t="shared" si="17"/>
        <v>134.69255830634606</v>
      </c>
      <c r="G134" s="37">
        <f>G135+G136</f>
        <v>10027.004000000001</v>
      </c>
      <c r="H134" s="37">
        <f>H135+H136</f>
        <v>502.47199999999998</v>
      </c>
      <c r="I134" s="92">
        <f>SUM(H134-G134)</f>
        <v>-9524.5320000000011</v>
      </c>
      <c r="J134" s="94">
        <f t="shared" si="18"/>
        <v>5.0111877884959455</v>
      </c>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c r="CE134" s="28"/>
      <c r="CF134" s="28"/>
      <c r="CG134" s="28"/>
      <c r="CH134" s="28"/>
      <c r="CI134" s="28"/>
      <c r="CJ134" s="28"/>
      <c r="CK134" s="28"/>
      <c r="CL134" s="28"/>
    </row>
    <row r="135" spans="1:90">
      <c r="A135" s="42" t="s">
        <v>233</v>
      </c>
      <c r="B135" s="110" t="s">
        <v>124</v>
      </c>
      <c r="C135" s="166">
        <v>30824.050999999999</v>
      </c>
      <c r="D135" s="166">
        <v>41385.983999999997</v>
      </c>
      <c r="E135" s="92">
        <f t="shared" si="20"/>
        <v>10561.932999999997</v>
      </c>
      <c r="F135" s="93">
        <f t="shared" si="17"/>
        <v>134.26523334003048</v>
      </c>
      <c r="G135" s="37">
        <v>10027.004000000001</v>
      </c>
      <c r="H135" s="169">
        <v>502.47199999999998</v>
      </c>
      <c r="I135" s="92">
        <f>SUM(H135-G135)</f>
        <v>-9524.5320000000011</v>
      </c>
      <c r="J135" s="94">
        <f t="shared" si="18"/>
        <v>5.0111877884959455</v>
      </c>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row>
    <row r="136" spans="1:90">
      <c r="A136" s="42" t="s">
        <v>234</v>
      </c>
      <c r="B136" s="110" t="s">
        <v>125</v>
      </c>
      <c r="C136" s="166">
        <v>647.26599999999996</v>
      </c>
      <c r="D136" s="166">
        <v>1003.538</v>
      </c>
      <c r="E136" s="92">
        <f t="shared" si="20"/>
        <v>356.27200000000005</v>
      </c>
      <c r="F136" s="93">
        <f t="shared" si="17"/>
        <v>155.04259454381969</v>
      </c>
      <c r="G136" s="37"/>
      <c r="H136" s="37"/>
      <c r="I136" s="92"/>
      <c r="J136" s="94"/>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row>
    <row r="137" spans="1:90" s="7" customFormat="1">
      <c r="A137" s="42" t="s">
        <v>100</v>
      </c>
      <c r="B137" s="80" t="s">
        <v>206</v>
      </c>
      <c r="C137" s="37">
        <f>SUM(C138:C139)</f>
        <v>14897.957999999999</v>
      </c>
      <c r="D137" s="37">
        <f>SUM(D138:D139)</f>
        <v>14353.522999999999</v>
      </c>
      <c r="E137" s="92">
        <f t="shared" si="20"/>
        <v>-544.43499999999949</v>
      </c>
      <c r="F137" s="93">
        <f t="shared" si="17"/>
        <v>96.345572997319508</v>
      </c>
      <c r="G137" s="37">
        <f t="shared" ref="G137:H137" si="21">SUM(G138:G139)</f>
        <v>381.89100000000002</v>
      </c>
      <c r="H137" s="37">
        <f t="shared" si="21"/>
        <v>0.85</v>
      </c>
      <c r="I137" s="92">
        <f t="shared" ref="I137:I138" si="22">SUM(H137-G137)</f>
        <v>-381.041</v>
      </c>
      <c r="J137" s="94">
        <f t="shared" si="18"/>
        <v>0.222576599081937</v>
      </c>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c r="CE137" s="28"/>
      <c r="CF137" s="28"/>
      <c r="CG137" s="28"/>
      <c r="CH137" s="28"/>
      <c r="CI137" s="28"/>
      <c r="CJ137" s="28"/>
      <c r="CK137" s="28"/>
      <c r="CL137" s="28"/>
    </row>
    <row r="138" spans="1:90">
      <c r="A138" s="42" t="s">
        <v>235</v>
      </c>
      <c r="B138" s="80" t="s">
        <v>236</v>
      </c>
      <c r="C138" s="166">
        <v>4033.328</v>
      </c>
      <c r="D138" s="166">
        <v>3264.116</v>
      </c>
      <c r="E138" s="92">
        <f t="shared" si="20"/>
        <v>-769.21199999999999</v>
      </c>
      <c r="F138" s="93">
        <f t="shared" si="17"/>
        <v>80.9286028807972</v>
      </c>
      <c r="G138" s="37">
        <v>381.89100000000002</v>
      </c>
      <c r="H138" s="37">
        <v>0.85</v>
      </c>
      <c r="I138" s="92">
        <f t="shared" si="22"/>
        <v>-381.041</v>
      </c>
      <c r="J138" s="94">
        <f t="shared" si="18"/>
        <v>0.222576599081937</v>
      </c>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row>
    <row r="139" spans="1:90">
      <c r="A139" s="42" t="s">
        <v>237</v>
      </c>
      <c r="B139" s="80" t="s">
        <v>238</v>
      </c>
      <c r="C139" s="166">
        <v>10864.63</v>
      </c>
      <c r="D139" s="166">
        <v>11089.406999999999</v>
      </c>
      <c r="E139" s="92">
        <f t="shared" si="20"/>
        <v>224.77700000000004</v>
      </c>
      <c r="F139" s="93">
        <f t="shared" si="17"/>
        <v>102.06888775779754</v>
      </c>
      <c r="G139" s="37"/>
      <c r="H139" s="37"/>
      <c r="I139" s="92"/>
      <c r="J139" s="94"/>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row>
    <row r="140" spans="1:90">
      <c r="A140" s="41" t="s">
        <v>95</v>
      </c>
      <c r="B140" s="110" t="s">
        <v>239</v>
      </c>
      <c r="C140" s="166">
        <v>2932.86</v>
      </c>
      <c r="D140" s="166">
        <v>4860.6130000000003</v>
      </c>
      <c r="E140" s="92">
        <f t="shared" si="20"/>
        <v>1927.7530000000002</v>
      </c>
      <c r="F140" s="93" t="s">
        <v>492</v>
      </c>
      <c r="G140" s="37">
        <v>120.05</v>
      </c>
      <c r="H140" s="37">
        <v>0</v>
      </c>
      <c r="I140" s="92">
        <f t="shared" ref="I140:I151" si="23">SUM(H140-G140)</f>
        <v>-120.05</v>
      </c>
      <c r="J140" s="94">
        <f t="shared" si="18"/>
        <v>0</v>
      </c>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row>
    <row r="141" spans="1:90" ht="37.5">
      <c r="A141" s="41" t="s">
        <v>448</v>
      </c>
      <c r="B141" s="110" t="s">
        <v>449</v>
      </c>
      <c r="C141" s="37"/>
      <c r="D141" s="37">
        <f>SUM(D142:D143)</f>
        <v>401.71500000000003</v>
      </c>
      <c r="E141" s="92">
        <f t="shared" si="20"/>
        <v>401.71500000000003</v>
      </c>
      <c r="F141" s="93"/>
      <c r="G141" s="37"/>
      <c r="H141" s="37">
        <f>SUM(H142:H143)</f>
        <v>8215.9989999999998</v>
      </c>
      <c r="I141" s="92">
        <f t="shared" si="23"/>
        <v>8215.9989999999998</v>
      </c>
      <c r="J141" s="93"/>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row>
    <row r="142" spans="1:90" ht="56.25">
      <c r="A142" s="41" t="s">
        <v>446</v>
      </c>
      <c r="B142" s="110" t="s">
        <v>450</v>
      </c>
      <c r="C142" s="37"/>
      <c r="D142" s="37">
        <v>40.171999999999997</v>
      </c>
      <c r="E142" s="92">
        <f t="shared" si="20"/>
        <v>40.171999999999997</v>
      </c>
      <c r="F142" s="93"/>
      <c r="G142" s="37"/>
      <c r="H142" s="37">
        <v>821.6</v>
      </c>
      <c r="I142" s="92">
        <f t="shared" si="23"/>
        <v>821.6</v>
      </c>
      <c r="J142" s="93"/>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row>
    <row r="143" spans="1:90" ht="56.25">
      <c r="A143" s="41" t="s">
        <v>447</v>
      </c>
      <c r="B143" s="110" t="s">
        <v>451</v>
      </c>
      <c r="C143" s="37"/>
      <c r="D143" s="37">
        <v>361.54300000000001</v>
      </c>
      <c r="E143" s="92">
        <f t="shared" si="20"/>
        <v>361.54300000000001</v>
      </c>
      <c r="F143" s="93"/>
      <c r="G143" s="37"/>
      <c r="H143" s="37">
        <v>7394.3990000000003</v>
      </c>
      <c r="I143" s="92">
        <f t="shared" si="23"/>
        <v>7394.3990000000003</v>
      </c>
      <c r="J143" s="93"/>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row>
    <row r="144" spans="1:90" ht="37.5">
      <c r="A144" s="41" t="s">
        <v>356</v>
      </c>
      <c r="B144" s="123" t="s">
        <v>359</v>
      </c>
      <c r="C144" s="170">
        <v>2311.5369999999998</v>
      </c>
      <c r="D144" s="37"/>
      <c r="E144" s="92">
        <f>SUM(D144-C144)</f>
        <v>-2311.5369999999998</v>
      </c>
      <c r="F144" s="93">
        <f t="shared" si="17"/>
        <v>0</v>
      </c>
      <c r="G144" s="37"/>
      <c r="H144" s="37"/>
      <c r="I144" s="92"/>
      <c r="J144" s="94"/>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row>
    <row r="145" spans="1:90" ht="56.25">
      <c r="A145" s="41" t="s">
        <v>357</v>
      </c>
      <c r="B145" s="120" t="s">
        <v>358</v>
      </c>
      <c r="C145" s="166"/>
      <c r="D145" s="37">
        <v>4869.1440000000002</v>
      </c>
      <c r="E145" s="92">
        <f>SUM(D145-C145)</f>
        <v>4869.1440000000002</v>
      </c>
      <c r="F145" s="93"/>
      <c r="G145" s="37"/>
      <c r="H145" s="37"/>
      <c r="I145" s="92"/>
      <c r="J145" s="94"/>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row>
    <row r="146" spans="1:90">
      <c r="A146" s="41" t="s">
        <v>455</v>
      </c>
      <c r="B146" s="124" t="s">
        <v>452</v>
      </c>
      <c r="C146" s="171"/>
      <c r="D146" s="37">
        <f>D147+D148</f>
        <v>2517.4059999999999</v>
      </c>
      <c r="E146" s="92">
        <f t="shared" ref="E146:E159" si="24">SUM(D146-C146)</f>
        <v>2517.4059999999999</v>
      </c>
      <c r="F146" s="93"/>
      <c r="G146" s="37"/>
      <c r="H146" s="37">
        <f>H147+H148</f>
        <v>3959.55</v>
      </c>
      <c r="I146" s="92">
        <f t="shared" si="23"/>
        <v>3959.55</v>
      </c>
      <c r="J146" s="93"/>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row>
    <row r="147" spans="1:90" ht="31.5">
      <c r="A147" s="41" t="s">
        <v>456</v>
      </c>
      <c r="B147" s="124" t="s">
        <v>453</v>
      </c>
      <c r="C147" s="172"/>
      <c r="D147" s="37">
        <v>727.22500000000002</v>
      </c>
      <c r="E147" s="92">
        <f t="shared" si="24"/>
        <v>727.22500000000002</v>
      </c>
      <c r="F147" s="93"/>
      <c r="G147" s="37"/>
      <c r="H147" s="37">
        <v>1187.865</v>
      </c>
      <c r="I147" s="92">
        <f t="shared" si="23"/>
        <v>1187.865</v>
      </c>
      <c r="J147" s="93"/>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row>
    <row r="148" spans="1:90" ht="31.5">
      <c r="A148" s="41" t="s">
        <v>457</v>
      </c>
      <c r="B148" s="124" t="s">
        <v>454</v>
      </c>
      <c r="C148" s="172"/>
      <c r="D148" s="37">
        <v>1790.181</v>
      </c>
      <c r="E148" s="92">
        <f t="shared" si="24"/>
        <v>1790.181</v>
      </c>
      <c r="F148" s="93"/>
      <c r="G148" s="37"/>
      <c r="H148" s="37">
        <v>2771.6849999999999</v>
      </c>
      <c r="I148" s="92">
        <f t="shared" si="23"/>
        <v>2771.6849999999999</v>
      </c>
      <c r="J148" s="93"/>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row>
    <row r="149" spans="1:90" ht="31.5">
      <c r="A149" s="41" t="s">
        <v>461</v>
      </c>
      <c r="B149" s="124" t="s">
        <v>458</v>
      </c>
      <c r="C149" s="171"/>
      <c r="D149" s="37">
        <f>D150+D151</f>
        <v>5159.6390000000001</v>
      </c>
      <c r="E149" s="92">
        <f t="shared" si="24"/>
        <v>5159.6390000000001</v>
      </c>
      <c r="F149" s="93"/>
      <c r="G149" s="37"/>
      <c r="H149" s="37">
        <f>H150+H151</f>
        <v>5841.2659999999996</v>
      </c>
      <c r="I149" s="92">
        <f t="shared" si="23"/>
        <v>5841.2659999999996</v>
      </c>
      <c r="J149" s="93"/>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row>
    <row r="150" spans="1:90" ht="47.25">
      <c r="A150" s="41" t="s">
        <v>462</v>
      </c>
      <c r="B150" s="124" t="s">
        <v>459</v>
      </c>
      <c r="C150" s="172"/>
      <c r="D150" s="37">
        <f>1547.892</f>
        <v>1547.8920000000001</v>
      </c>
      <c r="E150" s="92">
        <f t="shared" si="24"/>
        <v>1547.8920000000001</v>
      </c>
      <c r="F150" s="93"/>
      <c r="G150" s="37"/>
      <c r="H150" s="37">
        <f>32.384+1805.502</f>
        <v>1837.886</v>
      </c>
      <c r="I150" s="92">
        <f t="shared" si="23"/>
        <v>1837.886</v>
      </c>
      <c r="J150" s="93"/>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row>
    <row r="151" spans="1:90" ht="47.25">
      <c r="A151" s="41" t="s">
        <v>463</v>
      </c>
      <c r="B151" s="124" t="s">
        <v>460</v>
      </c>
      <c r="C151" s="172"/>
      <c r="D151" s="37">
        <f>3611.747</f>
        <v>3611.7469999999998</v>
      </c>
      <c r="E151" s="92">
        <f t="shared" si="24"/>
        <v>3611.7469999999998</v>
      </c>
      <c r="F151" s="93"/>
      <c r="G151" s="37"/>
      <c r="H151" s="37">
        <f>75.556+3927.824</f>
        <v>4003.38</v>
      </c>
      <c r="I151" s="92">
        <f t="shared" si="23"/>
        <v>4003.38</v>
      </c>
      <c r="J151" s="93"/>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row>
    <row r="152" spans="1:90" ht="37.5">
      <c r="A152" s="41" t="s">
        <v>406</v>
      </c>
      <c r="B152" s="121" t="s">
        <v>403</v>
      </c>
      <c r="C152" s="166"/>
      <c r="D152" s="37"/>
      <c r="E152" s="92"/>
      <c r="F152" s="93"/>
      <c r="G152" s="37"/>
      <c r="H152" s="37">
        <f>H153+H154</f>
        <v>10923.994999999999</v>
      </c>
      <c r="I152" s="92">
        <f>SUM(H152-G152)</f>
        <v>10923.994999999999</v>
      </c>
      <c r="J152" s="93"/>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row>
    <row r="153" spans="1:90" ht="37.5">
      <c r="A153" s="41" t="s">
        <v>407</v>
      </c>
      <c r="B153" s="122" t="s">
        <v>404</v>
      </c>
      <c r="C153" s="173"/>
      <c r="D153" s="37"/>
      <c r="E153" s="92"/>
      <c r="F153" s="93"/>
      <c r="G153" s="37"/>
      <c r="H153" s="37">
        <v>3277.1979999999999</v>
      </c>
      <c r="I153" s="92">
        <f>SUM(H153-G153)</f>
        <v>3277.1979999999999</v>
      </c>
      <c r="J153" s="93"/>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row>
    <row r="154" spans="1:90" ht="37.5">
      <c r="A154" s="41" t="s">
        <v>408</v>
      </c>
      <c r="B154" s="122" t="s">
        <v>405</v>
      </c>
      <c r="C154" s="173"/>
      <c r="D154" s="37"/>
      <c r="E154" s="92"/>
      <c r="F154" s="93"/>
      <c r="G154" s="37"/>
      <c r="H154" s="37">
        <v>7646.7969999999996</v>
      </c>
      <c r="I154" s="92">
        <f>SUM(H154-G154)</f>
        <v>7646.7969999999996</v>
      </c>
      <c r="J154" s="93"/>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row>
    <row r="155" spans="1:90" ht="37.5">
      <c r="A155" s="41" t="s">
        <v>473</v>
      </c>
      <c r="B155" s="122" t="s">
        <v>474</v>
      </c>
      <c r="C155" s="173"/>
      <c r="D155" s="37"/>
      <c r="E155" s="92"/>
      <c r="F155" s="93"/>
      <c r="G155" s="37">
        <v>23.45</v>
      </c>
      <c r="H155" s="37"/>
      <c r="I155" s="92">
        <f>SUM(H155-G155)</f>
        <v>-23.45</v>
      </c>
      <c r="J155" s="94">
        <f t="shared" si="18"/>
        <v>0</v>
      </c>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row>
    <row r="156" spans="1:90" ht="47.25">
      <c r="A156" s="41" t="s">
        <v>469</v>
      </c>
      <c r="B156" s="124" t="s">
        <v>464</v>
      </c>
      <c r="C156" s="171"/>
      <c r="D156" s="37">
        <f>D157+D158</f>
        <v>88.507999999999996</v>
      </c>
      <c r="E156" s="92">
        <f t="shared" si="24"/>
        <v>88.507999999999996</v>
      </c>
      <c r="F156" s="94"/>
      <c r="G156" s="37"/>
      <c r="H156" s="37">
        <f t="shared" ref="H156" si="25">H157+H158</f>
        <v>2458.6999999999998</v>
      </c>
      <c r="I156" s="92">
        <f t="shared" ref="I156:I158" si="26">SUM(H156-G156)</f>
        <v>2458.6999999999998</v>
      </c>
      <c r="J156" s="94"/>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row>
    <row r="157" spans="1:90" ht="47.25">
      <c r="A157" s="41" t="s">
        <v>470</v>
      </c>
      <c r="B157" s="124" t="s">
        <v>465</v>
      </c>
      <c r="C157" s="172"/>
      <c r="D157" s="37">
        <v>88.507999999999996</v>
      </c>
      <c r="E157" s="92">
        <f t="shared" si="24"/>
        <v>88.507999999999996</v>
      </c>
      <c r="F157" s="94"/>
      <c r="G157" s="37"/>
      <c r="H157" s="37">
        <v>153.50399999999999</v>
      </c>
      <c r="I157" s="92">
        <f t="shared" si="26"/>
        <v>153.50399999999999</v>
      </c>
      <c r="J157" s="94"/>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row>
    <row r="158" spans="1:90" ht="47.25">
      <c r="A158" s="41" t="s">
        <v>471</v>
      </c>
      <c r="B158" s="124" t="s">
        <v>466</v>
      </c>
      <c r="C158" s="172"/>
      <c r="D158" s="37"/>
      <c r="E158" s="92">
        <f t="shared" si="24"/>
        <v>0</v>
      </c>
      <c r="F158" s="94"/>
      <c r="G158" s="37"/>
      <c r="H158" s="37">
        <v>2305.1959999999999</v>
      </c>
      <c r="I158" s="92">
        <f t="shared" si="26"/>
        <v>2305.1959999999999</v>
      </c>
      <c r="J158" s="94"/>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row>
    <row r="159" spans="1:90" ht="31.5">
      <c r="A159" s="41" t="s">
        <v>468</v>
      </c>
      <c r="B159" s="124" t="s">
        <v>467</v>
      </c>
      <c r="C159" s="172"/>
      <c r="D159" s="37">
        <v>842.53200000000004</v>
      </c>
      <c r="E159" s="92">
        <f t="shared" si="24"/>
        <v>842.53200000000004</v>
      </c>
      <c r="F159" s="94"/>
      <c r="G159" s="37"/>
      <c r="H159" s="37"/>
      <c r="I159" s="92"/>
      <c r="J159" s="94"/>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row>
    <row r="160" spans="1:90" ht="20.25">
      <c r="A160" s="44" t="s">
        <v>36</v>
      </c>
      <c r="B160" s="75" t="s">
        <v>7</v>
      </c>
      <c r="C160" s="90">
        <f>SUM(C161:C164)+C165+C167</f>
        <v>143386.26700000002</v>
      </c>
      <c r="D160" s="90">
        <f>SUM(D161:D164)+D165+D167</f>
        <v>133751.04500000001</v>
      </c>
      <c r="E160" s="90">
        <f t="shared" ref="E160:E166" si="27">SUM(D160-C160)</f>
        <v>-9635.2220000000088</v>
      </c>
      <c r="F160" s="91">
        <f t="shared" ref="F160:F166" si="28">SUM(D160/C160*100)</f>
        <v>93.280233733960031</v>
      </c>
      <c r="G160" s="90">
        <f>SUM(G161:G166)+G167</f>
        <v>137011.209</v>
      </c>
      <c r="H160" s="90">
        <f>SUM(H161:H165)+H167</f>
        <v>91178.565999999992</v>
      </c>
      <c r="I160" s="90">
        <f t="shared" ref="I160:I162" si="29">SUM(H160-G160)</f>
        <v>-45832.643000000011</v>
      </c>
      <c r="J160" s="91">
        <f t="shared" ref="J160:J162" si="30">SUM(H160/G160*100)</f>
        <v>66.548252997314989</v>
      </c>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row>
    <row r="161" spans="1:90">
      <c r="A161" s="41" t="s">
        <v>37</v>
      </c>
      <c r="B161" s="136" t="s">
        <v>38</v>
      </c>
      <c r="C161" s="37">
        <f>97619.092+1380.96</f>
        <v>99000.052000000011</v>
      </c>
      <c r="D161" s="166">
        <f>93456.085</f>
        <v>93456.085000000006</v>
      </c>
      <c r="E161" s="92">
        <f t="shared" si="27"/>
        <v>-5543.9670000000042</v>
      </c>
      <c r="F161" s="93">
        <f t="shared" si="28"/>
        <v>94.400036274728421</v>
      </c>
      <c r="G161" s="37">
        <f>65926.968+10948.465</f>
        <v>76875.43299999999</v>
      </c>
      <c r="H161" s="166">
        <f>73670.587+7882.305</f>
        <v>81552.891999999993</v>
      </c>
      <c r="I161" s="92">
        <f t="shared" si="29"/>
        <v>4677.4590000000026</v>
      </c>
      <c r="J161" s="93">
        <f t="shared" si="30"/>
        <v>106.08446524132098</v>
      </c>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row>
    <row r="162" spans="1:90">
      <c r="A162" s="41" t="s">
        <v>101</v>
      </c>
      <c r="B162" s="40" t="s">
        <v>126</v>
      </c>
      <c r="C162" s="37">
        <f>15158.041</f>
        <v>15158.040999999999</v>
      </c>
      <c r="D162" s="166">
        <v>11796.81</v>
      </c>
      <c r="E162" s="92">
        <f t="shared" si="27"/>
        <v>-3361.2309999999998</v>
      </c>
      <c r="F162" s="93">
        <f t="shared" si="28"/>
        <v>77.825426122016694</v>
      </c>
      <c r="G162" s="169">
        <f>51217.703+7665.959</f>
        <v>58883.662000000004</v>
      </c>
      <c r="H162" s="166">
        <f>8016.532+1609.142</f>
        <v>9625.6740000000009</v>
      </c>
      <c r="I162" s="92">
        <f t="shared" si="29"/>
        <v>-49257.988000000005</v>
      </c>
      <c r="J162" s="93">
        <f t="shared" si="30"/>
        <v>16.346935080226498</v>
      </c>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row>
    <row r="163" spans="1:90">
      <c r="A163" s="41" t="s">
        <v>102</v>
      </c>
      <c r="B163" s="137" t="s">
        <v>197</v>
      </c>
      <c r="C163" s="37">
        <v>520.66200000000003</v>
      </c>
      <c r="D163" s="166">
        <v>615.71600000000001</v>
      </c>
      <c r="E163" s="92">
        <f t="shared" si="27"/>
        <v>95.053999999999974</v>
      </c>
      <c r="F163" s="93">
        <f t="shared" si="28"/>
        <v>118.25637361666492</v>
      </c>
      <c r="G163" s="37">
        <v>1252.114</v>
      </c>
      <c r="H163" s="169"/>
      <c r="I163" s="92"/>
      <c r="J163" s="93"/>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row>
    <row r="164" spans="1:90">
      <c r="A164" s="41" t="s">
        <v>103</v>
      </c>
      <c r="B164" s="137" t="s">
        <v>127</v>
      </c>
      <c r="C164" s="37">
        <v>237.173</v>
      </c>
      <c r="D164" s="166">
        <v>0</v>
      </c>
      <c r="E164" s="92">
        <f t="shared" si="27"/>
        <v>-237.173</v>
      </c>
      <c r="F164" s="93">
        <f t="shared" si="28"/>
        <v>0</v>
      </c>
      <c r="G164" s="37"/>
      <c r="H164" s="37"/>
      <c r="I164" s="92"/>
      <c r="J164" s="94"/>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row>
    <row r="165" spans="1:90">
      <c r="A165" s="41" t="s">
        <v>104</v>
      </c>
      <c r="B165" s="137" t="s">
        <v>198</v>
      </c>
      <c r="C165" s="37">
        <f>25768.688</f>
        <v>25768.687999999998</v>
      </c>
      <c r="D165" s="37">
        <f>SUM(D166)</f>
        <v>23435.146999999997</v>
      </c>
      <c r="E165" s="92">
        <f t="shared" si="27"/>
        <v>-2333.5410000000011</v>
      </c>
      <c r="F165" s="93">
        <f t="shared" si="28"/>
        <v>90.944277023339325</v>
      </c>
      <c r="G165" s="37"/>
      <c r="H165" s="37"/>
      <c r="I165" s="92"/>
      <c r="J165" s="94"/>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row>
    <row r="166" spans="1:90" ht="37.5">
      <c r="A166" s="41" t="s">
        <v>105</v>
      </c>
      <c r="B166" s="137" t="s">
        <v>128</v>
      </c>
      <c r="C166" s="37">
        <f>25058.22+710.468</f>
        <v>25768.688000000002</v>
      </c>
      <c r="D166" s="37">
        <f>23421.566+13.581</f>
        <v>23435.146999999997</v>
      </c>
      <c r="E166" s="92">
        <f t="shared" si="27"/>
        <v>-2333.5410000000047</v>
      </c>
      <c r="F166" s="93">
        <f t="shared" si="28"/>
        <v>90.944277023339311</v>
      </c>
      <c r="G166" s="37"/>
      <c r="H166" s="37"/>
      <c r="I166" s="92"/>
      <c r="J166" s="94"/>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row>
    <row r="167" spans="1:90">
      <c r="A167" s="41" t="s">
        <v>106</v>
      </c>
      <c r="B167" s="137" t="s">
        <v>129</v>
      </c>
      <c r="C167" s="37">
        <f>SUM(C168:C168)</f>
        <v>2701.6509999999998</v>
      </c>
      <c r="D167" s="37">
        <f>SUM(D168:D168)</f>
        <v>4447.2870000000003</v>
      </c>
      <c r="E167" s="92">
        <f>SUM(D167-C167)</f>
        <v>1745.6360000000004</v>
      </c>
      <c r="F167" s="93" t="s">
        <v>493</v>
      </c>
      <c r="G167" s="37"/>
      <c r="H167" s="37"/>
      <c r="I167" s="92"/>
      <c r="J167" s="94"/>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row>
    <row r="168" spans="1:90">
      <c r="A168" s="41" t="s">
        <v>107</v>
      </c>
      <c r="B168" s="137" t="s">
        <v>130</v>
      </c>
      <c r="C168" s="37">
        <v>2701.6509999999998</v>
      </c>
      <c r="D168" s="166">
        <v>4447.2870000000003</v>
      </c>
      <c r="E168" s="92">
        <f>SUM(D168-C168)</f>
        <v>1745.6360000000004</v>
      </c>
      <c r="F168" s="93" t="s">
        <v>493</v>
      </c>
      <c r="G168" s="37"/>
      <c r="H168" s="37"/>
      <c r="I168" s="92"/>
      <c r="J168" s="94"/>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row>
    <row r="169" spans="1:90" s="9" customFormat="1" ht="20.25">
      <c r="A169" s="117" t="s">
        <v>39</v>
      </c>
      <c r="B169" s="75" t="s">
        <v>8</v>
      </c>
      <c r="C169" s="90">
        <f>C170+C176+C178+C183+C191+C192+C194+C197+C202+C177+C181+C188+C190</f>
        <v>189996.27200000003</v>
      </c>
      <c r="D169" s="90">
        <f>D170+D176+D178+D183+D191+D192+D194+D197+D202+D177+D181+D188+D190+D182</f>
        <v>212095.23599999998</v>
      </c>
      <c r="E169" s="90">
        <f t="shared" ref="E169:E170" si="31">SUM(D169-C169)</f>
        <v>22098.963999999949</v>
      </c>
      <c r="F169" s="91">
        <f>SUM(D169/C169*100)</f>
        <v>111.63126190181245</v>
      </c>
      <c r="G169" s="90">
        <f>G170+G176+G178+G183+G191+G192+G194+G197+G202+G177+G198</f>
        <v>192649.97899999996</v>
      </c>
      <c r="H169" s="90">
        <f>H170+H176+H178+H183+H191+H192+H194+H197+H202+H177+H198+H188</f>
        <v>131083.54300000001</v>
      </c>
      <c r="I169" s="90">
        <f t="shared" ref="I169" si="32">SUM(H169-G169)</f>
        <v>-61566.435999999958</v>
      </c>
      <c r="J169" s="91">
        <f t="shared" ref="J169" si="33">SUM(H169/G169*100)</f>
        <v>68.042334434928762</v>
      </c>
    </row>
    <row r="170" spans="1:90" s="9" customFormat="1" ht="37.5">
      <c r="A170" s="41" t="s">
        <v>40</v>
      </c>
      <c r="B170" s="139" t="s">
        <v>177</v>
      </c>
      <c r="C170" s="37">
        <f>SUM(C171:C175)</f>
        <v>69282.710999999996</v>
      </c>
      <c r="D170" s="37">
        <f>SUM(D171:D175)</f>
        <v>69054.066999999995</v>
      </c>
      <c r="E170" s="92">
        <f t="shared" si="31"/>
        <v>-228.64400000000023</v>
      </c>
      <c r="F170" s="93">
        <f t="shared" ref="F170:F173" si="34">SUM(D170/C170*100)</f>
        <v>99.66998404551461</v>
      </c>
      <c r="G170" s="37"/>
      <c r="H170" s="37"/>
      <c r="I170" s="92"/>
      <c r="J170" s="174"/>
    </row>
    <row r="171" spans="1:90" s="9" customFormat="1">
      <c r="A171" s="41" t="s">
        <v>41</v>
      </c>
      <c r="B171" s="139" t="s">
        <v>205</v>
      </c>
      <c r="C171" s="37">
        <v>213.631</v>
      </c>
      <c r="D171" s="166">
        <v>65.358999999999995</v>
      </c>
      <c r="E171" s="92">
        <f t="shared" ref="E171:E204" si="35">SUM(D171-C171)</f>
        <v>-148.27199999999999</v>
      </c>
      <c r="F171" s="93">
        <f t="shared" si="34"/>
        <v>30.594342581366934</v>
      </c>
      <c r="G171" s="37"/>
      <c r="H171" s="37"/>
      <c r="I171" s="92"/>
      <c r="J171" s="174"/>
    </row>
    <row r="172" spans="1:90" s="9" customFormat="1">
      <c r="A172" s="41" t="s">
        <v>178</v>
      </c>
      <c r="B172" s="76" t="s">
        <v>43</v>
      </c>
      <c r="C172" s="37">
        <v>1277.8309999999999</v>
      </c>
      <c r="D172" s="166">
        <v>0</v>
      </c>
      <c r="E172" s="92">
        <f t="shared" si="35"/>
        <v>-1277.8309999999999</v>
      </c>
      <c r="F172" s="93">
        <f t="shared" si="34"/>
        <v>0</v>
      </c>
      <c r="G172" s="37"/>
      <c r="H172" s="37"/>
      <c r="I172" s="92"/>
      <c r="J172" s="94"/>
    </row>
    <row r="173" spans="1:90" s="9" customFormat="1" ht="37.5">
      <c r="A173" s="41" t="s">
        <v>42</v>
      </c>
      <c r="B173" s="140" t="s">
        <v>12</v>
      </c>
      <c r="C173" s="37">
        <v>67187.286999999997</v>
      </c>
      <c r="D173" s="37">
        <f>2402.304+66586.404</f>
        <v>68988.707999999999</v>
      </c>
      <c r="E173" s="92">
        <f t="shared" si="35"/>
        <v>1801.4210000000021</v>
      </c>
      <c r="F173" s="93">
        <f t="shared" si="34"/>
        <v>102.68119324419216</v>
      </c>
      <c r="G173" s="37"/>
      <c r="H173" s="37"/>
      <c r="I173" s="92"/>
      <c r="J173" s="94"/>
    </row>
    <row r="174" spans="1:90" s="9" customFormat="1" ht="37.5">
      <c r="A174" s="41" t="s">
        <v>44</v>
      </c>
      <c r="B174" s="76" t="s">
        <v>13</v>
      </c>
      <c r="C174" s="37">
        <v>603.96199999999999</v>
      </c>
      <c r="D174" s="166">
        <v>0</v>
      </c>
      <c r="E174" s="92">
        <f t="shared" si="35"/>
        <v>-603.96199999999999</v>
      </c>
      <c r="F174" s="93">
        <f t="shared" ref="F174:F204" si="36">SUM(D174/C174*100)</f>
        <v>0</v>
      </c>
      <c r="G174" s="37"/>
      <c r="H174" s="37"/>
      <c r="I174" s="92"/>
      <c r="J174" s="94"/>
    </row>
    <row r="175" spans="1:90" s="9" customFormat="1">
      <c r="A175" s="41" t="s">
        <v>45</v>
      </c>
      <c r="B175" s="139" t="s">
        <v>46</v>
      </c>
      <c r="C175" s="37">
        <v>0</v>
      </c>
      <c r="D175" s="37">
        <v>0</v>
      </c>
      <c r="E175" s="92">
        <f t="shared" si="35"/>
        <v>0</v>
      </c>
      <c r="F175" s="93"/>
      <c r="G175" s="37"/>
      <c r="H175" s="37"/>
      <c r="I175" s="92"/>
      <c r="J175" s="94"/>
    </row>
    <row r="176" spans="1:90" s="9" customFormat="1">
      <c r="A176" s="39" t="s">
        <v>47</v>
      </c>
      <c r="B176" s="76" t="s">
        <v>54</v>
      </c>
      <c r="C176" s="37">
        <v>542.476</v>
      </c>
      <c r="D176" s="166">
        <v>670.69600000000003</v>
      </c>
      <c r="E176" s="92">
        <f t="shared" si="35"/>
        <v>128.22000000000003</v>
      </c>
      <c r="F176" s="93">
        <f t="shared" si="36"/>
        <v>123.63606869243986</v>
      </c>
      <c r="G176" s="37"/>
      <c r="H176" s="37"/>
      <c r="I176" s="92"/>
      <c r="J176" s="94"/>
    </row>
    <row r="177" spans="1:10" s="9" customFormat="1">
      <c r="A177" s="41" t="s">
        <v>48</v>
      </c>
      <c r="B177" s="141" t="s">
        <v>179</v>
      </c>
      <c r="C177" s="37">
        <v>224.31800000000001</v>
      </c>
      <c r="D177" s="166">
        <v>260.28300000000002</v>
      </c>
      <c r="E177" s="92">
        <f t="shared" si="35"/>
        <v>35.965000000000003</v>
      </c>
      <c r="F177" s="93">
        <f t="shared" si="36"/>
        <v>116.03304237733931</v>
      </c>
      <c r="G177" s="37"/>
      <c r="H177" s="37"/>
      <c r="I177" s="92"/>
      <c r="J177" s="94"/>
    </row>
    <row r="178" spans="1:10" s="9" customFormat="1" ht="37.5">
      <c r="A178" s="41" t="s">
        <v>49</v>
      </c>
      <c r="B178" s="141" t="s">
        <v>180</v>
      </c>
      <c r="C178" s="37">
        <f>C179+C180</f>
        <v>47038.286</v>
      </c>
      <c r="D178" s="37">
        <f>D179+D180</f>
        <v>52466.32</v>
      </c>
      <c r="E178" s="92">
        <f t="shared" si="35"/>
        <v>5428.0339999999997</v>
      </c>
      <c r="F178" s="93">
        <f t="shared" si="36"/>
        <v>111.53960839474466</v>
      </c>
      <c r="G178" s="37">
        <f>G179+G180</f>
        <v>37538.074000000001</v>
      </c>
      <c r="H178" s="37">
        <f>H179+H180</f>
        <v>8757.8629999999994</v>
      </c>
      <c r="I178" s="92">
        <f>SUM(H178-G178)</f>
        <v>-28780.211000000003</v>
      </c>
      <c r="J178" s="93">
        <f t="shared" ref="J178:J180" si="37">SUM(H178/G178*100)</f>
        <v>23.330613605801936</v>
      </c>
    </row>
    <row r="179" spans="1:10" s="9" customFormat="1" ht="37.5">
      <c r="A179" s="41" t="s">
        <v>50</v>
      </c>
      <c r="B179" s="141" t="s">
        <v>55</v>
      </c>
      <c r="C179" s="37">
        <v>39612.748</v>
      </c>
      <c r="D179" s="37">
        <v>41090.106</v>
      </c>
      <c r="E179" s="92">
        <f t="shared" si="35"/>
        <v>1477.3580000000002</v>
      </c>
      <c r="F179" s="93">
        <f t="shared" si="36"/>
        <v>103.72950142211795</v>
      </c>
      <c r="G179" s="37">
        <v>35823.612000000001</v>
      </c>
      <c r="H179" s="169">
        <v>8575.6440000000002</v>
      </c>
      <c r="I179" s="92">
        <f>SUM(H179-G179)</f>
        <v>-27247.968000000001</v>
      </c>
      <c r="J179" s="93">
        <f t="shared" si="37"/>
        <v>23.938524122023207</v>
      </c>
    </row>
    <row r="180" spans="1:10" s="9" customFormat="1">
      <c r="A180" s="41" t="s">
        <v>51</v>
      </c>
      <c r="B180" s="141" t="s">
        <v>181</v>
      </c>
      <c r="C180" s="37">
        <v>7425.5379999999996</v>
      </c>
      <c r="D180" s="166">
        <f>9783.876+1592.338</f>
        <v>11376.214</v>
      </c>
      <c r="E180" s="92">
        <f t="shared" si="35"/>
        <v>3950.6760000000004</v>
      </c>
      <c r="F180" s="93" t="s">
        <v>494</v>
      </c>
      <c r="G180" s="37">
        <v>1714.462</v>
      </c>
      <c r="H180" s="169">
        <v>182.21899999999999</v>
      </c>
      <c r="I180" s="92">
        <f>SUM(H180-G180)</f>
        <v>-1532.2429999999999</v>
      </c>
      <c r="J180" s="93">
        <f t="shared" si="37"/>
        <v>10.628348718140151</v>
      </c>
    </row>
    <row r="181" spans="1:10" s="9" customFormat="1" ht="37.5">
      <c r="A181" s="41" t="s">
        <v>377</v>
      </c>
      <c r="B181" s="122" t="s">
        <v>378</v>
      </c>
      <c r="C181" s="175">
        <v>380.03199999999998</v>
      </c>
      <c r="D181" s="166">
        <v>160.84299999999999</v>
      </c>
      <c r="E181" s="92">
        <f>SUM(D181-C181)</f>
        <v>-219.18899999999999</v>
      </c>
      <c r="F181" s="93">
        <f>SUM(D181/C181*100)</f>
        <v>42.323541175479953</v>
      </c>
      <c r="G181" s="37"/>
      <c r="H181" s="169"/>
      <c r="I181" s="92"/>
      <c r="J181" s="93"/>
    </row>
    <row r="182" spans="1:10" s="9" customFormat="1" ht="56.25">
      <c r="A182" s="41" t="s">
        <v>399</v>
      </c>
      <c r="B182" s="142" t="s">
        <v>400</v>
      </c>
      <c r="C182" s="176"/>
      <c r="D182" s="37">
        <f>202.596+414.384</f>
        <v>616.98</v>
      </c>
      <c r="E182" s="92">
        <f>SUM(D182-C182)</f>
        <v>616.98</v>
      </c>
      <c r="F182" s="93"/>
      <c r="G182" s="37"/>
      <c r="H182" s="169"/>
      <c r="I182" s="92"/>
      <c r="J182" s="93"/>
    </row>
    <row r="183" spans="1:10" s="9" customFormat="1">
      <c r="A183" s="41" t="s">
        <v>108</v>
      </c>
      <c r="B183" s="141" t="s">
        <v>56</v>
      </c>
      <c r="C183" s="37">
        <f>C184+C185+C186+C187</f>
        <v>3553.71</v>
      </c>
      <c r="D183" s="37">
        <f>D184+D185+D186+D187</f>
        <v>6816.8510000000006</v>
      </c>
      <c r="E183" s="92">
        <f t="shared" si="35"/>
        <v>3263.1410000000005</v>
      </c>
      <c r="F183" s="93" t="s">
        <v>495</v>
      </c>
      <c r="G183" s="37">
        <f>G184+G185+G186+G187</f>
        <v>168.78800000000001</v>
      </c>
      <c r="H183" s="37">
        <f>H184+H185+H186+H187</f>
        <v>643.10699999999997</v>
      </c>
      <c r="I183" s="92">
        <f>SUM(H183-G183)</f>
        <v>474.31899999999996</v>
      </c>
      <c r="J183" s="174" t="s">
        <v>496</v>
      </c>
    </row>
    <row r="184" spans="1:10" s="9" customFormat="1">
      <c r="A184" s="41" t="s">
        <v>109</v>
      </c>
      <c r="B184" s="141" t="s">
        <v>220</v>
      </c>
      <c r="C184" s="37">
        <v>2466.7109999999998</v>
      </c>
      <c r="D184" s="166">
        <v>4109.835</v>
      </c>
      <c r="E184" s="92">
        <f t="shared" si="35"/>
        <v>1643.1240000000003</v>
      </c>
      <c r="F184" s="93" t="s">
        <v>490</v>
      </c>
      <c r="G184" s="37">
        <v>9</v>
      </c>
      <c r="H184" s="169">
        <v>0</v>
      </c>
      <c r="I184" s="92">
        <f>SUM(H184-G184)</f>
        <v>-9</v>
      </c>
      <c r="J184" s="93">
        <f t="shared" ref="J184" si="38">SUM(H184/G184*100)</f>
        <v>0</v>
      </c>
    </row>
    <row r="185" spans="1:10" s="9" customFormat="1">
      <c r="A185" s="41"/>
      <c r="B185" s="141"/>
      <c r="C185" s="37"/>
      <c r="D185" s="166"/>
      <c r="E185" s="92"/>
      <c r="F185" s="93"/>
      <c r="G185" s="37"/>
      <c r="H185" s="37"/>
      <c r="I185" s="92"/>
      <c r="J185" s="94"/>
    </row>
    <row r="186" spans="1:10" s="9" customFormat="1">
      <c r="A186" s="41" t="s">
        <v>430</v>
      </c>
      <c r="B186" s="141" t="s">
        <v>431</v>
      </c>
      <c r="C186" s="37">
        <v>327.37799999999999</v>
      </c>
      <c r="D186" s="166">
        <v>239.99199999999999</v>
      </c>
      <c r="E186" s="92">
        <f t="shared" si="35"/>
        <v>-87.385999999999996</v>
      </c>
      <c r="F186" s="93">
        <f t="shared" si="36"/>
        <v>73.307308371362765</v>
      </c>
      <c r="G186" s="37"/>
      <c r="H186" s="37"/>
      <c r="I186" s="92"/>
      <c r="J186" s="94"/>
    </row>
    <row r="187" spans="1:10" s="9" customFormat="1" ht="37.5">
      <c r="A187" s="41" t="s">
        <v>312</v>
      </c>
      <c r="B187" s="141" t="s">
        <v>313</v>
      </c>
      <c r="C187" s="37">
        <v>759.62099999999998</v>
      </c>
      <c r="D187" s="37">
        <v>2467.0239999999999</v>
      </c>
      <c r="E187" s="92">
        <f t="shared" si="35"/>
        <v>1707.4029999999998</v>
      </c>
      <c r="F187" s="93" t="s">
        <v>498</v>
      </c>
      <c r="G187" s="37">
        <v>159.78800000000001</v>
      </c>
      <c r="H187" s="169">
        <v>643.10699999999997</v>
      </c>
      <c r="I187" s="92">
        <f>SUM(H187-G187)</f>
        <v>483.31899999999996</v>
      </c>
      <c r="J187" s="93" t="s">
        <v>497</v>
      </c>
    </row>
    <row r="188" spans="1:10" s="9" customFormat="1" ht="37.5">
      <c r="A188" s="41" t="s">
        <v>379</v>
      </c>
      <c r="B188" s="143" t="s">
        <v>382</v>
      </c>
      <c r="C188" s="37">
        <f>C189</f>
        <v>691.255</v>
      </c>
      <c r="D188" s="37">
        <f>D189</f>
        <v>734.70899999999995</v>
      </c>
      <c r="E188" s="92">
        <f t="shared" ref="E188:E190" si="39">SUM(D188-C188)</f>
        <v>43.453999999999951</v>
      </c>
      <c r="F188" s="93">
        <f>SUM(D188/C188*100)</f>
        <v>106.28624747741426</v>
      </c>
      <c r="G188" s="37"/>
      <c r="H188" s="169">
        <v>167.44900000000001</v>
      </c>
      <c r="I188" s="92"/>
      <c r="J188" s="94"/>
    </row>
    <row r="189" spans="1:10" s="9" customFormat="1">
      <c r="A189" s="41" t="s">
        <v>380</v>
      </c>
      <c r="B189" s="143" t="s">
        <v>383</v>
      </c>
      <c r="C189" s="37">
        <v>691.255</v>
      </c>
      <c r="D189" s="37">
        <v>734.70899999999995</v>
      </c>
      <c r="E189" s="92">
        <f t="shared" si="39"/>
        <v>43.453999999999951</v>
      </c>
      <c r="F189" s="93">
        <f>SUM(D189/C189*100)</f>
        <v>106.28624747741426</v>
      </c>
      <c r="G189" s="37"/>
      <c r="H189" s="169">
        <v>167.44900000000001</v>
      </c>
      <c r="I189" s="92"/>
      <c r="J189" s="94"/>
    </row>
    <row r="190" spans="1:10" s="9" customFormat="1" ht="56.25">
      <c r="A190" s="41" t="s">
        <v>381</v>
      </c>
      <c r="B190" s="122" t="s">
        <v>384</v>
      </c>
      <c r="C190" s="37">
        <v>13866.029</v>
      </c>
      <c r="D190" s="37">
        <v>8463.35</v>
      </c>
      <c r="E190" s="92">
        <f t="shared" si="39"/>
        <v>-5402.6790000000001</v>
      </c>
      <c r="F190" s="93">
        <f>SUM(D190/C190*100)</f>
        <v>61.03658084084492</v>
      </c>
      <c r="G190" s="37"/>
      <c r="H190" s="169"/>
      <c r="I190" s="92"/>
      <c r="J190" s="94"/>
    </row>
    <row r="191" spans="1:10" s="9" customFormat="1" ht="56.25">
      <c r="A191" s="39" t="s">
        <v>94</v>
      </c>
      <c r="B191" s="110" t="s">
        <v>182</v>
      </c>
      <c r="C191" s="37">
        <v>10190.716</v>
      </c>
      <c r="D191" s="37">
        <v>13093.951999999999</v>
      </c>
      <c r="E191" s="92">
        <f t="shared" si="35"/>
        <v>2903.235999999999</v>
      </c>
      <c r="F191" s="93">
        <f t="shared" si="36"/>
        <v>128.48902864136335</v>
      </c>
      <c r="G191" s="37"/>
      <c r="H191" s="37"/>
      <c r="I191" s="92"/>
      <c r="J191" s="94"/>
    </row>
    <row r="192" spans="1:10" s="9" customFormat="1">
      <c r="A192" s="77" t="s">
        <v>110</v>
      </c>
      <c r="B192" s="141" t="s">
        <v>183</v>
      </c>
      <c r="C192" s="37">
        <f>C193</f>
        <v>240.90799999999999</v>
      </c>
      <c r="D192" s="37">
        <f>D193</f>
        <v>267.48200000000003</v>
      </c>
      <c r="E192" s="92">
        <f t="shared" si="35"/>
        <v>26.574000000000041</v>
      </c>
      <c r="F192" s="93">
        <f t="shared" si="36"/>
        <v>111.03076693177481</v>
      </c>
      <c r="G192" s="37"/>
      <c r="H192" s="37"/>
      <c r="I192" s="92"/>
      <c r="J192" s="94"/>
    </row>
    <row r="193" spans="1:10" s="9" customFormat="1" ht="37.5">
      <c r="A193" s="77" t="s">
        <v>111</v>
      </c>
      <c r="B193" s="141" t="s">
        <v>193</v>
      </c>
      <c r="C193" s="37">
        <v>240.90799999999999</v>
      </c>
      <c r="D193" s="37">
        <v>267.48200000000003</v>
      </c>
      <c r="E193" s="92">
        <f t="shared" si="35"/>
        <v>26.574000000000041</v>
      </c>
      <c r="F193" s="93">
        <f t="shared" si="36"/>
        <v>111.03076693177481</v>
      </c>
      <c r="G193" s="37"/>
      <c r="H193" s="37"/>
      <c r="I193" s="92"/>
      <c r="J193" s="94"/>
    </row>
    <row r="194" spans="1:10" s="9" customFormat="1">
      <c r="A194" s="77" t="s">
        <v>52</v>
      </c>
      <c r="B194" s="141" t="s">
        <v>57</v>
      </c>
      <c r="C194" s="37">
        <f>C195+C196</f>
        <v>14240.027</v>
      </c>
      <c r="D194" s="37">
        <f>D195+D196</f>
        <v>20712.573</v>
      </c>
      <c r="E194" s="92">
        <f t="shared" si="35"/>
        <v>6472.5460000000003</v>
      </c>
      <c r="F194" s="93">
        <f t="shared" si="36"/>
        <v>145.45318628960464</v>
      </c>
      <c r="G194" s="37"/>
      <c r="H194" s="37"/>
      <c r="I194" s="36"/>
      <c r="J194" s="94"/>
    </row>
    <row r="195" spans="1:10" s="9" customFormat="1">
      <c r="A195" s="39" t="s">
        <v>112</v>
      </c>
      <c r="B195" s="141" t="s">
        <v>337</v>
      </c>
      <c r="C195" s="37">
        <v>12933.126</v>
      </c>
      <c r="D195" s="37">
        <f>2051.825+17178.433</f>
        <v>19230.258000000002</v>
      </c>
      <c r="E195" s="92">
        <f t="shared" si="35"/>
        <v>6297.1320000000014</v>
      </c>
      <c r="F195" s="93">
        <f t="shared" si="36"/>
        <v>148.68994549345612</v>
      </c>
      <c r="G195" s="37"/>
      <c r="H195" s="37"/>
      <c r="I195" s="92"/>
      <c r="J195" s="94"/>
    </row>
    <row r="196" spans="1:10" s="9" customFormat="1" ht="37.5">
      <c r="A196" s="39" t="s">
        <v>113</v>
      </c>
      <c r="B196" s="110" t="s">
        <v>336</v>
      </c>
      <c r="C196" s="37">
        <v>1306.9010000000001</v>
      </c>
      <c r="D196" s="37">
        <v>1482.3150000000001</v>
      </c>
      <c r="E196" s="92">
        <f t="shared" si="35"/>
        <v>175.41399999999999</v>
      </c>
      <c r="F196" s="93">
        <f t="shared" si="36"/>
        <v>113.42213373468992</v>
      </c>
      <c r="G196" s="37"/>
      <c r="H196" s="37"/>
      <c r="I196" s="92"/>
      <c r="J196" s="94"/>
    </row>
    <row r="197" spans="1:10" s="9" customFormat="1">
      <c r="A197" s="39" t="s">
        <v>114</v>
      </c>
      <c r="B197" s="110" t="s">
        <v>214</v>
      </c>
      <c r="C197" s="37"/>
      <c r="D197" s="37"/>
      <c r="E197" s="92"/>
      <c r="F197" s="93"/>
      <c r="G197" s="37">
        <v>2324.5790000000002</v>
      </c>
      <c r="H197" s="37">
        <v>2285.9740000000002</v>
      </c>
      <c r="I197" s="92">
        <f t="shared" ref="I197:I203" si="40">SUM(H197-G197)</f>
        <v>-38.605000000000018</v>
      </c>
      <c r="J197" s="93">
        <f t="shared" ref="J197:J203" si="41">SUM(H197/G197*100)</f>
        <v>98.339269175192584</v>
      </c>
    </row>
    <row r="198" spans="1:10" s="9" customFormat="1" ht="37.5">
      <c r="A198" s="39" t="s">
        <v>391</v>
      </c>
      <c r="B198" s="110" t="s">
        <v>395</v>
      </c>
      <c r="C198" s="37"/>
      <c r="D198" s="37"/>
      <c r="E198" s="92"/>
      <c r="F198" s="93"/>
      <c r="G198" s="37">
        <f>G199+G200+G201</f>
        <v>149464.60299999997</v>
      </c>
      <c r="H198" s="37">
        <f>H199+H200+H201</f>
        <v>115058.727</v>
      </c>
      <c r="I198" s="92">
        <f>SUM(H198-G198)</f>
        <v>-34405.875999999975</v>
      </c>
      <c r="J198" s="93">
        <f>SUM(H198/G198*100)</f>
        <v>76.980585831415894</v>
      </c>
    </row>
    <row r="199" spans="1:10" s="9" customFormat="1" ht="206.25">
      <c r="A199" s="39" t="s">
        <v>392</v>
      </c>
      <c r="B199" s="110" t="s">
        <v>396</v>
      </c>
      <c r="C199" s="37"/>
      <c r="D199" s="37"/>
      <c r="E199" s="92"/>
      <c r="F199" s="93"/>
      <c r="G199" s="37">
        <v>14017.012000000001</v>
      </c>
      <c r="H199" s="37">
        <v>39757.548999999999</v>
      </c>
      <c r="I199" s="92">
        <f>SUM(H199-G199)</f>
        <v>25740.536999999997</v>
      </c>
      <c r="J199" s="93" t="s">
        <v>472</v>
      </c>
    </row>
    <row r="200" spans="1:10" s="9" customFormat="1" ht="206.25">
      <c r="A200" s="39" t="s">
        <v>393</v>
      </c>
      <c r="B200" s="110" t="s">
        <v>397</v>
      </c>
      <c r="C200" s="37"/>
      <c r="D200" s="37"/>
      <c r="E200" s="92"/>
      <c r="F200" s="93"/>
      <c r="G200" s="37">
        <v>135447.59099999999</v>
      </c>
      <c r="H200" s="37">
        <v>73401.384000000005</v>
      </c>
      <c r="I200" s="92">
        <f>SUM(H200-G200)</f>
        <v>-62046.20699999998</v>
      </c>
      <c r="J200" s="93">
        <f>SUM(H200/G200*100)</f>
        <v>54.191723498426789</v>
      </c>
    </row>
    <row r="201" spans="1:10" s="9" customFormat="1" ht="131.25">
      <c r="A201" s="39" t="s">
        <v>394</v>
      </c>
      <c r="B201" s="110" t="s">
        <v>398</v>
      </c>
      <c r="C201" s="37"/>
      <c r="D201" s="37"/>
      <c r="E201" s="92"/>
      <c r="F201" s="93"/>
      <c r="G201" s="37"/>
      <c r="H201" s="37">
        <v>1899.7940000000001</v>
      </c>
      <c r="I201" s="92">
        <f>SUM(H201-G201)</f>
        <v>1899.7940000000001</v>
      </c>
      <c r="J201" s="93"/>
    </row>
    <row r="202" spans="1:10" s="9" customFormat="1">
      <c r="A202" s="39" t="s">
        <v>53</v>
      </c>
      <c r="B202" s="76" t="s">
        <v>185</v>
      </c>
      <c r="C202" s="37">
        <f>C203+C204</f>
        <v>29745.804</v>
      </c>
      <c r="D202" s="37">
        <f>D203+D204</f>
        <v>38777.129999999997</v>
      </c>
      <c r="E202" s="92">
        <f t="shared" si="35"/>
        <v>9031.3259999999973</v>
      </c>
      <c r="F202" s="93">
        <f t="shared" si="36"/>
        <v>130.36168059199207</v>
      </c>
      <c r="G202" s="37">
        <f>G203+G204</f>
        <v>3153.9349999999999</v>
      </c>
      <c r="H202" s="37">
        <f>H203+H204</f>
        <v>4170.4229999999998</v>
      </c>
      <c r="I202" s="92">
        <f t="shared" si="40"/>
        <v>1016.4879999999998</v>
      </c>
      <c r="J202" s="93">
        <f t="shared" si="41"/>
        <v>132.22919939694381</v>
      </c>
    </row>
    <row r="203" spans="1:10" s="9" customFormat="1">
      <c r="A203" s="39" t="s">
        <v>115</v>
      </c>
      <c r="B203" s="76" t="s">
        <v>186</v>
      </c>
      <c r="C203" s="37">
        <v>15979.529</v>
      </c>
      <c r="D203" s="166">
        <f>5144.771+13758.621</f>
        <v>18903.392</v>
      </c>
      <c r="E203" s="92">
        <f t="shared" si="35"/>
        <v>2923.8629999999994</v>
      </c>
      <c r="F203" s="93">
        <f t="shared" si="36"/>
        <v>118.29755432716446</v>
      </c>
      <c r="G203" s="37">
        <v>3153.9349999999999</v>
      </c>
      <c r="H203" s="169">
        <f>2238.641+1271.782</f>
        <v>3510.4229999999998</v>
      </c>
      <c r="I203" s="92">
        <f t="shared" si="40"/>
        <v>356.48799999999983</v>
      </c>
      <c r="J203" s="93">
        <f t="shared" si="41"/>
        <v>111.30295963613707</v>
      </c>
    </row>
    <row r="204" spans="1:10" s="9" customFormat="1">
      <c r="A204" s="39" t="s">
        <v>116</v>
      </c>
      <c r="B204" s="76" t="s">
        <v>187</v>
      </c>
      <c r="C204" s="37">
        <v>13766.275</v>
      </c>
      <c r="D204" s="166">
        <f>1596.454+10062.035+8215.249</f>
        <v>19873.737999999998</v>
      </c>
      <c r="E204" s="92">
        <f t="shared" si="35"/>
        <v>6107.4629999999979</v>
      </c>
      <c r="F204" s="93">
        <f t="shared" si="36"/>
        <v>144.36540022627761</v>
      </c>
      <c r="G204" s="37"/>
      <c r="H204" s="37">
        <v>660</v>
      </c>
      <c r="I204" s="92"/>
      <c r="J204" s="174"/>
    </row>
    <row r="205" spans="1:10" s="9" customFormat="1" ht="20.25">
      <c r="A205" s="44" t="s">
        <v>60</v>
      </c>
      <c r="B205" s="75" t="s">
        <v>10</v>
      </c>
      <c r="C205" s="90">
        <f>SUM(C206:C208)</f>
        <v>157122.40700000001</v>
      </c>
      <c r="D205" s="90">
        <f>SUM(D206:D208)</f>
        <v>135513.23300000001</v>
      </c>
      <c r="E205" s="90">
        <f t="shared" ref="E205:E210" si="42">SUM(D205-C205)</f>
        <v>-21609.173999999999</v>
      </c>
      <c r="F205" s="91">
        <f t="shared" ref="F205:F210" si="43">SUM(D205/C205*100)</f>
        <v>86.246917665918915</v>
      </c>
      <c r="G205" s="90">
        <f>SUM(G206:G208)</f>
        <v>3846.3830000000007</v>
      </c>
      <c r="H205" s="90">
        <f>SUM(H206:H208)</f>
        <v>5110.2870000000003</v>
      </c>
      <c r="I205" s="90">
        <f t="shared" ref="I205:I207" si="44">SUM(H205-G205)</f>
        <v>1263.9039999999995</v>
      </c>
      <c r="J205" s="91">
        <f t="shared" ref="J205:J208" si="45">SUM(H205/G205*100)</f>
        <v>132.8595462282357</v>
      </c>
    </row>
    <row r="206" spans="1:10" s="9" customFormat="1">
      <c r="A206" s="41" t="s">
        <v>117</v>
      </c>
      <c r="B206" s="40" t="s">
        <v>131</v>
      </c>
      <c r="C206" s="166">
        <v>47063.622000000003</v>
      </c>
      <c r="D206" s="166">
        <v>43016.993999999999</v>
      </c>
      <c r="E206" s="92">
        <f t="shared" si="42"/>
        <v>-4046.6280000000042</v>
      </c>
      <c r="F206" s="93">
        <f t="shared" si="43"/>
        <v>91.401792237749987</v>
      </c>
      <c r="G206" s="92">
        <v>1579.2560000000001</v>
      </c>
      <c r="H206" s="92">
        <v>2081.4679999999998</v>
      </c>
      <c r="I206" s="92">
        <f t="shared" si="44"/>
        <v>502.21199999999976</v>
      </c>
      <c r="J206" s="93">
        <f t="shared" si="45"/>
        <v>131.80054405365561</v>
      </c>
    </row>
    <row r="207" spans="1:10" s="9" customFormat="1" ht="37.5">
      <c r="A207" s="41" t="s">
        <v>61</v>
      </c>
      <c r="B207" s="76" t="s">
        <v>190</v>
      </c>
      <c r="C207" s="166">
        <v>37621.237999999998</v>
      </c>
      <c r="D207" s="166">
        <v>32949.476999999999</v>
      </c>
      <c r="E207" s="92">
        <f t="shared" si="42"/>
        <v>-4671.7609999999986</v>
      </c>
      <c r="F207" s="93">
        <f t="shared" si="43"/>
        <v>87.582117845244753</v>
      </c>
      <c r="G207" s="169">
        <v>1096.5630000000001</v>
      </c>
      <c r="H207" s="169">
        <v>2250.165</v>
      </c>
      <c r="I207" s="92">
        <f t="shared" si="44"/>
        <v>1153.6019999999999</v>
      </c>
      <c r="J207" s="93" t="s">
        <v>499</v>
      </c>
    </row>
    <row r="208" spans="1:10" s="9" customFormat="1">
      <c r="A208" s="41" t="s">
        <v>118</v>
      </c>
      <c r="B208" s="40" t="s">
        <v>132</v>
      </c>
      <c r="C208" s="37">
        <f>SUM(C209:C210)</f>
        <v>72437.547000000006</v>
      </c>
      <c r="D208" s="37">
        <f>SUM(D209:D210)</f>
        <v>59546.762000000002</v>
      </c>
      <c r="E208" s="92">
        <f t="shared" si="42"/>
        <v>-12890.785000000003</v>
      </c>
      <c r="F208" s="93">
        <f t="shared" si="43"/>
        <v>82.204277292824386</v>
      </c>
      <c r="G208" s="37">
        <f>SUM(G209:G210)</f>
        <v>1170.5640000000001</v>
      </c>
      <c r="H208" s="37">
        <f>SUM(H209:H210)</f>
        <v>778.654</v>
      </c>
      <c r="I208" s="92">
        <f t="shared" ref="I208:I209" si="46">SUM(H208-G208)</f>
        <v>-391.91000000000008</v>
      </c>
      <c r="J208" s="93">
        <f t="shared" si="45"/>
        <v>66.519558093363543</v>
      </c>
    </row>
    <row r="209" spans="1:10" s="9" customFormat="1">
      <c r="A209" s="41" t="s">
        <v>119</v>
      </c>
      <c r="B209" s="40" t="s">
        <v>133</v>
      </c>
      <c r="C209" s="166">
        <v>70531.763000000006</v>
      </c>
      <c r="D209" s="166">
        <v>57185.96</v>
      </c>
      <c r="E209" s="92">
        <f t="shared" si="42"/>
        <v>-13345.803000000007</v>
      </c>
      <c r="F209" s="93">
        <f t="shared" si="43"/>
        <v>81.078307939077035</v>
      </c>
      <c r="G209" s="169">
        <v>1170.5640000000001</v>
      </c>
      <c r="H209" s="169">
        <v>599.05399999999997</v>
      </c>
      <c r="I209" s="92">
        <f t="shared" si="46"/>
        <v>-571.5100000000001</v>
      </c>
      <c r="J209" s="93">
        <f>SUM(H209/G209*100)</f>
        <v>51.176526870807571</v>
      </c>
    </row>
    <row r="210" spans="1:10" s="9" customFormat="1">
      <c r="A210" s="41" t="s">
        <v>120</v>
      </c>
      <c r="B210" s="40" t="s">
        <v>134</v>
      </c>
      <c r="C210" s="166">
        <v>1905.7840000000001</v>
      </c>
      <c r="D210" s="166">
        <v>2360.8020000000001</v>
      </c>
      <c r="E210" s="92">
        <f t="shared" si="42"/>
        <v>455.01800000000003</v>
      </c>
      <c r="F210" s="93">
        <f t="shared" si="43"/>
        <v>123.87563333515234</v>
      </c>
      <c r="G210" s="37"/>
      <c r="H210" s="37">
        <v>179.6</v>
      </c>
      <c r="I210" s="92">
        <f>SUM(H210-G210)</f>
        <v>179.6</v>
      </c>
      <c r="J210" s="93"/>
    </row>
    <row r="211" spans="1:10" s="9" customFormat="1" ht="20.25">
      <c r="A211" s="44" t="s">
        <v>62</v>
      </c>
      <c r="B211" s="45" t="s">
        <v>11</v>
      </c>
      <c r="C211" s="90">
        <f>SUM(C212+C215+C219+C222)</f>
        <v>165920.74062000003</v>
      </c>
      <c r="D211" s="90">
        <f>SUM(D212+D215+D219+D222)</f>
        <v>170737.91813000003</v>
      </c>
      <c r="E211" s="90">
        <f t="shared" ref="E211:E224" si="47">SUM(D211-C211)</f>
        <v>4817.1775100000086</v>
      </c>
      <c r="F211" s="91">
        <f t="shared" ref="F211:F224" si="48">SUM(D211/C211*100)</f>
        <v>102.90330039029452</v>
      </c>
      <c r="G211" s="90">
        <f>SUM(G212+G215+G219+G222)</f>
        <v>22614.766950000001</v>
      </c>
      <c r="H211" s="90">
        <f>SUM(H212+H215+H219+H222)</f>
        <v>5567.1915399999998</v>
      </c>
      <c r="I211" s="90">
        <f t="shared" ref="I211" si="49">SUM(H211-G211)</f>
        <v>-17047.575410000001</v>
      </c>
      <c r="J211" s="177">
        <f>SUM(H211/G211*100)</f>
        <v>24.6175056869202</v>
      </c>
    </row>
    <row r="212" spans="1:10" s="9" customFormat="1">
      <c r="A212" s="39" t="s">
        <v>64</v>
      </c>
      <c r="B212" s="40" t="s">
        <v>63</v>
      </c>
      <c r="C212" s="92">
        <f>C213+C214</f>
        <v>3124.0486799999999</v>
      </c>
      <c r="D212" s="92">
        <f>D213+D214</f>
        <v>2394.2543699999997</v>
      </c>
      <c r="E212" s="92">
        <f t="shared" si="47"/>
        <v>-729.79431000000022</v>
      </c>
      <c r="F212" s="93">
        <f>SUM(D212/C212*100)</f>
        <v>76.639470611578304</v>
      </c>
      <c r="G212" s="92"/>
      <c r="H212" s="92"/>
      <c r="I212" s="92"/>
      <c r="J212" s="94"/>
    </row>
    <row r="213" spans="1:10" s="9" customFormat="1">
      <c r="A213" s="41" t="s">
        <v>65</v>
      </c>
      <c r="B213" s="40" t="s">
        <v>76</v>
      </c>
      <c r="C213" s="37">
        <v>2270.8342499999999</v>
      </c>
      <c r="D213" s="166">
        <v>1694.2549799999999</v>
      </c>
      <c r="E213" s="92">
        <f t="shared" si="47"/>
        <v>-576.57926999999995</v>
      </c>
      <c r="F213" s="93">
        <f>SUM(D213/C213*100)</f>
        <v>74.609363497137664</v>
      </c>
      <c r="G213" s="37"/>
      <c r="H213" s="37"/>
      <c r="I213" s="92"/>
      <c r="J213" s="94"/>
    </row>
    <row r="214" spans="1:10" s="9" customFormat="1">
      <c r="A214" s="41" t="s">
        <v>66</v>
      </c>
      <c r="B214" s="40" t="s">
        <v>77</v>
      </c>
      <c r="C214" s="37">
        <v>853.21442999999999</v>
      </c>
      <c r="D214" s="166">
        <v>699.99938999999995</v>
      </c>
      <c r="E214" s="92">
        <f t="shared" si="47"/>
        <v>-153.21504000000004</v>
      </c>
      <c r="F214" s="93">
        <f>SUM(D214/C214*100)</f>
        <v>82.042610320127835</v>
      </c>
      <c r="G214" s="37"/>
      <c r="H214" s="37"/>
      <c r="I214" s="92"/>
      <c r="J214" s="94"/>
    </row>
    <row r="215" spans="1:10" s="9" customFormat="1">
      <c r="A215" s="42" t="s">
        <v>67</v>
      </c>
      <c r="B215" s="43" t="s">
        <v>78</v>
      </c>
      <c r="C215" s="37">
        <f>C216+C217+C218</f>
        <v>128305.54821000001</v>
      </c>
      <c r="D215" s="37">
        <f>D216+D217+D218</f>
        <v>131889.10119000002</v>
      </c>
      <c r="E215" s="92">
        <f>SUM(D215-C215)</f>
        <v>3583.5529800000077</v>
      </c>
      <c r="F215" s="93">
        <f t="shared" si="48"/>
        <v>102.79298364723459</v>
      </c>
      <c r="G215" s="37">
        <f>G216+G217+G218</f>
        <v>4929.6320900000001</v>
      </c>
      <c r="H215" s="37">
        <f>H216+H217+H218</f>
        <v>2333.64768</v>
      </c>
      <c r="I215" s="92">
        <f t="shared" ref="I215:I218" si="50">SUM(H215-G215)</f>
        <v>-2595.98441</v>
      </c>
      <c r="J215" s="93">
        <f t="shared" ref="J215:J218" si="51">SUM(H215/G215*100)</f>
        <v>47.339185509075179</v>
      </c>
    </row>
    <row r="216" spans="1:10" s="9" customFormat="1">
      <c r="A216" s="42" t="s">
        <v>68</v>
      </c>
      <c r="B216" s="43" t="s">
        <v>79</v>
      </c>
      <c r="C216" s="37">
        <v>111705.32983</v>
      </c>
      <c r="D216" s="166">
        <v>119290.71597</v>
      </c>
      <c r="E216" s="92">
        <f t="shared" si="47"/>
        <v>7585.3861400000023</v>
      </c>
      <c r="F216" s="93">
        <f t="shared" si="48"/>
        <v>106.79053197510262</v>
      </c>
      <c r="G216" s="37">
        <v>4596.9478300000001</v>
      </c>
      <c r="H216" s="169">
        <v>1788.38895</v>
      </c>
      <c r="I216" s="92">
        <f t="shared" si="50"/>
        <v>-2808.55888</v>
      </c>
      <c r="J216" s="93">
        <f t="shared" si="51"/>
        <v>38.903833938006642</v>
      </c>
    </row>
    <row r="217" spans="1:10" s="9" customFormat="1">
      <c r="A217" s="42" t="s">
        <v>69</v>
      </c>
      <c r="B217" s="43" t="s">
        <v>80</v>
      </c>
      <c r="C217" s="37">
        <v>2838.049</v>
      </c>
      <c r="D217" s="166">
        <v>0</v>
      </c>
      <c r="E217" s="92">
        <f t="shared" si="47"/>
        <v>-2838.049</v>
      </c>
      <c r="F217" s="93">
        <f t="shared" si="48"/>
        <v>0</v>
      </c>
      <c r="G217" s="37"/>
      <c r="H217" s="37"/>
      <c r="I217" s="92"/>
      <c r="J217" s="94"/>
    </row>
    <row r="218" spans="1:10" s="9" customFormat="1">
      <c r="A218" s="42" t="s">
        <v>70</v>
      </c>
      <c r="B218" s="43" t="s">
        <v>81</v>
      </c>
      <c r="C218" s="37">
        <v>13762.169379999999</v>
      </c>
      <c r="D218" s="166">
        <v>12598.38522</v>
      </c>
      <c r="E218" s="92">
        <f t="shared" si="47"/>
        <v>-1163.7841599999992</v>
      </c>
      <c r="F218" s="93">
        <f t="shared" si="48"/>
        <v>91.543599501897717</v>
      </c>
      <c r="G218" s="178">
        <v>332.68425999999999</v>
      </c>
      <c r="H218" s="169">
        <v>545.25873000000001</v>
      </c>
      <c r="I218" s="92">
        <f t="shared" si="50"/>
        <v>212.57447000000002</v>
      </c>
      <c r="J218" s="93">
        <f t="shared" si="51"/>
        <v>163.89676205300486</v>
      </c>
    </row>
    <row r="219" spans="1:10" s="9" customFormat="1">
      <c r="A219" s="42" t="s">
        <v>71</v>
      </c>
      <c r="B219" s="43" t="s">
        <v>82</v>
      </c>
      <c r="C219" s="169">
        <f>C220+C221</f>
        <v>22004.955849999998</v>
      </c>
      <c r="D219" s="169">
        <f>D220+D221</f>
        <v>20737.173190000001</v>
      </c>
      <c r="E219" s="92">
        <f t="shared" si="47"/>
        <v>-1267.7826599999971</v>
      </c>
      <c r="F219" s="93">
        <f t="shared" si="48"/>
        <v>94.238649381339258</v>
      </c>
      <c r="G219" s="92">
        <f>G220</f>
        <v>17541.523300000001</v>
      </c>
      <c r="H219" s="169">
        <f t="shared" ref="H219" si="52">H220+H221</f>
        <v>3150.55186</v>
      </c>
      <c r="I219" s="92">
        <f t="shared" ref="I219" si="53">SUM(H219-G219)</f>
        <v>-14390.971440000001</v>
      </c>
      <c r="J219" s="93">
        <f>SUM(H219/G219*100)</f>
        <v>17.960537440896022</v>
      </c>
    </row>
    <row r="220" spans="1:10" s="9" customFormat="1">
      <c r="A220" s="42" t="s">
        <v>72</v>
      </c>
      <c r="B220" s="43" t="s">
        <v>83</v>
      </c>
      <c r="C220" s="37">
        <v>21936.294249999999</v>
      </c>
      <c r="D220" s="166">
        <v>20622.834790000001</v>
      </c>
      <c r="E220" s="92">
        <f t="shared" si="47"/>
        <v>-1313.4594599999982</v>
      </c>
      <c r="F220" s="93">
        <f t="shared" si="48"/>
        <v>94.01239131354194</v>
      </c>
      <c r="G220" s="178">
        <f>1878.45261+15663.07069</f>
        <v>17541.523300000001</v>
      </c>
      <c r="H220" s="169">
        <f>3132.07818+18.47368</f>
        <v>3150.55186</v>
      </c>
      <c r="I220" s="92">
        <f t="shared" ref="I220" si="54">SUM(H220-G220)</f>
        <v>-14390.971440000001</v>
      </c>
      <c r="J220" s="93">
        <f>SUM(H220/G220*100)</f>
        <v>17.960537440896022</v>
      </c>
    </row>
    <row r="221" spans="1:10" s="9" customFormat="1" ht="37.5">
      <c r="A221" s="42" t="s">
        <v>328</v>
      </c>
      <c r="B221" s="43" t="s">
        <v>329</v>
      </c>
      <c r="C221" s="37">
        <v>68.661600000000007</v>
      </c>
      <c r="D221" s="166">
        <v>114.33839999999999</v>
      </c>
      <c r="E221" s="92">
        <f t="shared" si="47"/>
        <v>45.676799999999986</v>
      </c>
      <c r="F221" s="93" t="s">
        <v>490</v>
      </c>
      <c r="G221" s="179"/>
      <c r="H221" s="169"/>
      <c r="I221" s="92"/>
      <c r="J221" s="94"/>
    </row>
    <row r="222" spans="1:10" s="9" customFormat="1">
      <c r="A222" s="42" t="s">
        <v>73</v>
      </c>
      <c r="B222" s="43" t="s">
        <v>84</v>
      </c>
      <c r="C222" s="37">
        <f>C223+C224</f>
        <v>12486.187879999999</v>
      </c>
      <c r="D222" s="37">
        <f>D223+D224</f>
        <v>15717.389380000001</v>
      </c>
      <c r="E222" s="92">
        <f t="shared" si="47"/>
        <v>3231.201500000001</v>
      </c>
      <c r="F222" s="93">
        <f t="shared" si="48"/>
        <v>125.87820663163048</v>
      </c>
      <c r="G222" s="37">
        <f>G223+G224</f>
        <v>143.61156</v>
      </c>
      <c r="H222" s="37">
        <f>H223+H224</f>
        <v>82.992000000000004</v>
      </c>
      <c r="I222" s="92">
        <f t="shared" ref="I222" si="55">SUM(H222-G222)</f>
        <v>-60.619559999999993</v>
      </c>
      <c r="J222" s="93">
        <f t="shared" ref="J222" si="56">SUM(H222/G222*100)</f>
        <v>57.789219753618724</v>
      </c>
    </row>
    <row r="223" spans="1:10" s="9" customFormat="1" ht="37.5">
      <c r="A223" s="42" t="s">
        <v>74</v>
      </c>
      <c r="B223" s="43" t="s">
        <v>85</v>
      </c>
      <c r="C223" s="37">
        <v>7784.1559999999999</v>
      </c>
      <c r="D223" s="37">
        <v>10324.33519</v>
      </c>
      <c r="E223" s="92">
        <f t="shared" si="47"/>
        <v>2540.1791899999998</v>
      </c>
      <c r="F223" s="93">
        <v>100</v>
      </c>
      <c r="G223" s="36"/>
      <c r="H223" s="36"/>
      <c r="I223" s="92"/>
      <c r="J223" s="94"/>
    </row>
    <row r="224" spans="1:10" s="9" customFormat="1">
      <c r="A224" s="42" t="s">
        <v>75</v>
      </c>
      <c r="B224" s="43" t="s">
        <v>86</v>
      </c>
      <c r="C224" s="37">
        <v>4702.0318799999995</v>
      </c>
      <c r="D224" s="166">
        <v>5393.0541899999998</v>
      </c>
      <c r="E224" s="92">
        <f t="shared" si="47"/>
        <v>691.02231000000029</v>
      </c>
      <c r="F224" s="93">
        <f t="shared" si="48"/>
        <v>114.69624893313144</v>
      </c>
      <c r="G224" s="36">
        <v>143.61156</v>
      </c>
      <c r="H224" s="169">
        <v>82.992000000000004</v>
      </c>
      <c r="I224" s="92">
        <f t="shared" ref="I224" si="57">SUM(H224-G224)</f>
        <v>-60.619559999999993</v>
      </c>
      <c r="J224" s="93">
        <f t="shared" ref="J224" si="58">SUM(H224/G224*100)</f>
        <v>57.789219753618724</v>
      </c>
    </row>
    <row r="225" spans="1:90" s="9" customFormat="1" ht="20.25">
      <c r="A225" s="44" t="s">
        <v>58</v>
      </c>
      <c r="B225" s="75" t="s">
        <v>9</v>
      </c>
      <c r="C225" s="90">
        <f>C226+C229+C230+C231+C232+C233+C237</f>
        <v>715255.22241000005</v>
      </c>
      <c r="D225" s="90">
        <f>D226+D229+D230+D231+D232+D233+D237</f>
        <v>611692.88459999999</v>
      </c>
      <c r="E225" s="90">
        <f>SUM(D225-C225)</f>
        <v>-103562.33781000006</v>
      </c>
      <c r="F225" s="91">
        <f>SUM(D225/C225*100)</f>
        <v>85.520925319349033</v>
      </c>
      <c r="G225" s="90">
        <f>G226+G229+G230+G231+G232+G233+G237</f>
        <v>381972.07436999999</v>
      </c>
      <c r="H225" s="90">
        <f>H226+H229+H230+H231+H232+H233+H237</f>
        <v>101890.84706</v>
      </c>
      <c r="I225" s="90">
        <f t="shared" ref="I225" si="59">SUM(H225-G225)</f>
        <v>-280081.22730999999</v>
      </c>
      <c r="J225" s="91">
        <f t="shared" ref="J225:J227" si="60">SUM(H225/G225*100)</f>
        <v>26.674946651022115</v>
      </c>
    </row>
    <row r="226" spans="1:90" s="9" customFormat="1">
      <c r="A226" s="77" t="s">
        <v>59</v>
      </c>
      <c r="B226" s="74" t="s">
        <v>135</v>
      </c>
      <c r="C226" s="92">
        <f>C227+C228</f>
        <v>73704.85480999999</v>
      </c>
      <c r="D226" s="92">
        <f>D227+D228</f>
        <v>63557.742050000001</v>
      </c>
      <c r="E226" s="92">
        <f>SUM(D226-C226)</f>
        <v>-10147.112759999989</v>
      </c>
      <c r="F226" s="93">
        <f>SUM(D226/C226*100)</f>
        <v>86.232775593741124</v>
      </c>
      <c r="G226" s="92">
        <f>G227+G228</f>
        <v>46986.098010000002</v>
      </c>
      <c r="H226" s="92">
        <f>H227+H228</f>
        <v>20258.45851</v>
      </c>
      <c r="I226" s="92">
        <f t="shared" ref="I226" si="61">SUM(H226-G226)</f>
        <v>-26727.639500000001</v>
      </c>
      <c r="J226" s="93">
        <f t="shared" si="60"/>
        <v>43.115856323477672</v>
      </c>
    </row>
    <row r="227" spans="1:90" s="9" customFormat="1">
      <c r="A227" s="77" t="s">
        <v>121</v>
      </c>
      <c r="B227" s="74" t="s">
        <v>136</v>
      </c>
      <c r="C227" s="92">
        <f>27995.31845</f>
        <v>27995.318449999999</v>
      </c>
      <c r="D227" s="166">
        <f>23314.78603+3320.60034</f>
        <v>26635.38637</v>
      </c>
      <c r="E227" s="92">
        <f>SUM(D227-C227)</f>
        <v>-1359.9320799999987</v>
      </c>
      <c r="F227" s="93">
        <f>SUM(D227/C227*100)</f>
        <v>95.14228751343245</v>
      </c>
      <c r="G227" s="92">
        <v>46986.098010000002</v>
      </c>
      <c r="H227" s="169">
        <f>19111.7498+1146.70871</f>
        <v>20258.45851</v>
      </c>
      <c r="I227" s="92">
        <f t="shared" ref="I227" si="62">SUM(H227-G227)</f>
        <v>-26727.639500000001</v>
      </c>
      <c r="J227" s="93">
        <f t="shared" si="60"/>
        <v>43.115856323477672</v>
      </c>
    </row>
    <row r="228" spans="1:90" s="9" customFormat="1" ht="37.5">
      <c r="A228" s="77" t="s">
        <v>122</v>
      </c>
      <c r="B228" s="78" t="s">
        <v>90</v>
      </c>
      <c r="C228" s="92">
        <v>45709.536359999998</v>
      </c>
      <c r="D228" s="37">
        <f>11388.12683+7546.8987+10540.05131+7447.27884</f>
        <v>36922.355680000001</v>
      </c>
      <c r="E228" s="92">
        <f t="shared" ref="E228:E231" si="63">SUM(D228-C228)</f>
        <v>-8787.1806799999977</v>
      </c>
      <c r="F228" s="93">
        <f t="shared" ref="F228" si="64">SUM(D228/C228*100)</f>
        <v>80.776045044968825</v>
      </c>
      <c r="G228" s="92"/>
      <c r="H228" s="92"/>
      <c r="I228" s="92"/>
      <c r="J228" s="94"/>
    </row>
    <row r="229" spans="1:90" s="9" customFormat="1" ht="37.5">
      <c r="A229" s="79">
        <v>6020</v>
      </c>
      <c r="B229" s="78" t="s">
        <v>137</v>
      </c>
      <c r="C229" s="37">
        <v>154606.89365000001</v>
      </c>
      <c r="D229" s="37">
        <f>90894.52359+846.75803+284.691+129.9996+588.20022</f>
        <v>92744.172439999995</v>
      </c>
      <c r="E229" s="92">
        <f t="shared" si="63"/>
        <v>-61862.721210000018</v>
      </c>
      <c r="F229" s="93">
        <f>SUM(D229/C229*100)</f>
        <v>59.987087412773967</v>
      </c>
      <c r="G229" s="37">
        <v>16453.982530000001</v>
      </c>
      <c r="H229" s="37"/>
      <c r="I229" s="92">
        <f>SUM(H229-G229)</f>
        <v>-16453.982530000001</v>
      </c>
      <c r="J229" s="93">
        <f>SUM(H229/G229*100)</f>
        <v>0</v>
      </c>
    </row>
    <row r="230" spans="1:90" s="9" customFormat="1">
      <c r="A230" s="79">
        <v>6030</v>
      </c>
      <c r="B230" s="80" t="s">
        <v>138</v>
      </c>
      <c r="C230" s="37">
        <v>441988.23132000002</v>
      </c>
      <c r="D230" s="37">
        <f>260131.75409+35676.6609+14725.45312+36352.91662+37263.0247</f>
        <v>384149.80943000008</v>
      </c>
      <c r="E230" s="92">
        <f t="shared" si="63"/>
        <v>-57838.42188999994</v>
      </c>
      <c r="F230" s="93">
        <f>SUM(D230/C230*100)</f>
        <v>86.914035761254269</v>
      </c>
      <c r="G230" s="37">
        <v>76139.545790000004</v>
      </c>
      <c r="H230" s="169">
        <f>27738.10858+5521.58683+323.72589+3323.20082</f>
        <v>36906.62212</v>
      </c>
      <c r="I230" s="92">
        <f>SUM(H230-G230)</f>
        <v>-39232.923670000004</v>
      </c>
      <c r="J230" s="93">
        <f>SUM(H230/G230*100)</f>
        <v>48.47234342819948</v>
      </c>
    </row>
    <row r="231" spans="1:90" s="9" customFormat="1">
      <c r="A231" s="79">
        <v>6040</v>
      </c>
      <c r="B231" s="80" t="s">
        <v>342</v>
      </c>
      <c r="C231" s="37">
        <v>6143.6808700000001</v>
      </c>
      <c r="D231" s="37">
        <f>52603.42843</f>
        <v>52603.42843</v>
      </c>
      <c r="E231" s="92">
        <f t="shared" si="63"/>
        <v>46459.747560000003</v>
      </c>
      <c r="F231" s="93" t="s">
        <v>500</v>
      </c>
      <c r="G231" s="37"/>
      <c r="H231" s="169">
        <v>128.16</v>
      </c>
      <c r="I231" s="92"/>
      <c r="J231" s="94"/>
    </row>
    <row r="232" spans="1:90" s="9" customFormat="1" ht="37.5">
      <c r="A232" s="79">
        <v>6050</v>
      </c>
      <c r="B232" s="81" t="s">
        <v>330</v>
      </c>
      <c r="C232" s="37">
        <v>37317.264369999997</v>
      </c>
      <c r="D232" s="37">
        <f>13984.18225</f>
        <v>13984.18225</v>
      </c>
      <c r="E232" s="92">
        <f t="shared" ref="E232" si="65">SUM(D232-C232)</f>
        <v>-23333.082119999999</v>
      </c>
      <c r="F232" s="93">
        <f>SUM(D232/C232*100)</f>
        <v>37.473760432563033</v>
      </c>
      <c r="G232" s="37">
        <v>18454.051869999999</v>
      </c>
      <c r="H232" s="37">
        <v>33984.233189999999</v>
      </c>
      <c r="I232" s="92">
        <f>SUM(H232-G232)</f>
        <v>15530.18132</v>
      </c>
      <c r="J232" s="93" t="s">
        <v>501</v>
      </c>
    </row>
    <row r="233" spans="1:90" s="9" customFormat="1">
      <c r="A233" s="79">
        <v>6080</v>
      </c>
      <c r="B233" s="78" t="s">
        <v>141</v>
      </c>
      <c r="C233" s="37">
        <f>C234+C235+C236</f>
        <v>1400</v>
      </c>
      <c r="D233" s="37">
        <f>D234+D235+D236</f>
        <v>1652</v>
      </c>
      <c r="E233" s="92">
        <f t="shared" ref="E233" si="66">SUM(D233-C233)</f>
        <v>252</v>
      </c>
      <c r="F233" s="93">
        <f>SUM(D233/C233*100)</f>
        <v>118</v>
      </c>
      <c r="G233" s="37">
        <f>G234+G235+G236</f>
        <v>223710.06898000001</v>
      </c>
      <c r="H233" s="37">
        <f>H234+H235+H236</f>
        <v>10613.373240000001</v>
      </c>
      <c r="I233" s="92">
        <f>SUM(H233-G233)</f>
        <v>-213096.69574</v>
      </c>
      <c r="J233" s="93">
        <f>SUM(H233/G233*100)</f>
        <v>4.7442537067693857</v>
      </c>
    </row>
    <row r="234" spans="1:90" s="9" customFormat="1">
      <c r="A234" s="79">
        <v>6082</v>
      </c>
      <c r="B234" s="78" t="s">
        <v>199</v>
      </c>
      <c r="C234" s="37"/>
      <c r="D234" s="37"/>
      <c r="E234" s="92"/>
      <c r="F234" s="93"/>
      <c r="G234" s="37"/>
      <c r="H234" s="37"/>
      <c r="I234" s="92"/>
      <c r="J234" s="94"/>
    </row>
    <row r="235" spans="1:90" s="9" customFormat="1" ht="37.5">
      <c r="A235" s="79">
        <v>6084</v>
      </c>
      <c r="B235" s="78" t="s">
        <v>139</v>
      </c>
      <c r="C235" s="37">
        <v>1400</v>
      </c>
      <c r="D235" s="37">
        <v>1652</v>
      </c>
      <c r="E235" s="92">
        <f t="shared" ref="E235:E237" si="67">SUM(D235-C235)</f>
        <v>252</v>
      </c>
      <c r="F235" s="93">
        <f>SUM(D235/C235*100)</f>
        <v>118</v>
      </c>
      <c r="G235" s="37"/>
      <c r="H235" s="37"/>
      <c r="I235" s="92"/>
      <c r="J235" s="94"/>
    </row>
    <row r="236" spans="1:90" s="9" customFormat="1">
      <c r="A236" s="79" t="s">
        <v>505</v>
      </c>
      <c r="B236" s="78" t="s">
        <v>200</v>
      </c>
      <c r="C236" s="37"/>
      <c r="D236" s="37"/>
      <c r="E236" s="92"/>
      <c r="F236" s="93"/>
      <c r="G236" s="37">
        <v>223710.06898000001</v>
      </c>
      <c r="H236" s="37">
        <v>10613.373240000001</v>
      </c>
      <c r="I236" s="92">
        <f t="shared" ref="I236:I239" si="68">SUM(H236-G236)</f>
        <v>-213096.69574</v>
      </c>
      <c r="J236" s="93">
        <f>SUM(H236/G236*100)</f>
        <v>4.7442537067693857</v>
      </c>
    </row>
    <row r="237" spans="1:90" s="9" customFormat="1">
      <c r="A237" s="79">
        <v>6090</v>
      </c>
      <c r="B237" s="78" t="s">
        <v>140</v>
      </c>
      <c r="C237" s="37">
        <v>94.297389999999993</v>
      </c>
      <c r="D237" s="37">
        <f>2973.6924+13.9288+13.9288</f>
        <v>3001.55</v>
      </c>
      <c r="E237" s="92">
        <f t="shared" si="67"/>
        <v>2907.25261</v>
      </c>
      <c r="F237" s="93" t="s">
        <v>502</v>
      </c>
      <c r="G237" s="37">
        <v>228.32719</v>
      </c>
      <c r="H237" s="169"/>
      <c r="I237" s="92">
        <f t="shared" si="68"/>
        <v>-228.32719</v>
      </c>
      <c r="J237" s="93">
        <f t="shared" ref="J237" si="69">SUM(H237/G237*100)</f>
        <v>0</v>
      </c>
    </row>
    <row r="238" spans="1:90" ht="20.25">
      <c r="A238" s="144" t="s">
        <v>317</v>
      </c>
      <c r="B238" s="134" t="s">
        <v>318</v>
      </c>
      <c r="C238" s="161">
        <f>SUM(C239+C252+C258)</f>
        <v>721544.27799999993</v>
      </c>
      <c r="D238" s="161">
        <f>SUM(D239+D252+D258)</f>
        <v>561844.571</v>
      </c>
      <c r="E238" s="90">
        <f>SUM(D238-C238)</f>
        <v>-159699.70699999994</v>
      </c>
      <c r="F238" s="91">
        <f t="shared" ref="F238:F239" si="70">SUM(D238/C238*100)</f>
        <v>77.866956766303957</v>
      </c>
      <c r="G238" s="161">
        <f>SUM(G239+G252+G258)</f>
        <v>1111376.5419999999</v>
      </c>
      <c r="H238" s="161">
        <f>SUM(H239+H252+H258)</f>
        <v>1190361.2590000001</v>
      </c>
      <c r="I238" s="90">
        <f t="shared" si="68"/>
        <v>78984.717000000179</v>
      </c>
      <c r="J238" s="91">
        <f t="shared" ref="J238" si="71">SUM(H238/G238*100)</f>
        <v>107.10692677189873</v>
      </c>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row>
    <row r="239" spans="1:90" ht="20.25">
      <c r="A239" s="46" t="s">
        <v>87</v>
      </c>
      <c r="B239" s="47" t="s">
        <v>142</v>
      </c>
      <c r="C239" s="180">
        <f>C240+C241+C247+C248+C249+C250+C251</f>
        <v>399.95</v>
      </c>
      <c r="D239" s="180">
        <f>D240+D241+D247+D248+D249+D250+D251</f>
        <v>228</v>
      </c>
      <c r="E239" s="180">
        <f>SUM(D239-C239)</f>
        <v>-171.95</v>
      </c>
      <c r="F239" s="91">
        <f t="shared" si="70"/>
        <v>57.00712589073634</v>
      </c>
      <c r="G239" s="180">
        <f>G240+G241+G247+G248+G249+G250+G251</f>
        <v>198721.467</v>
      </c>
      <c r="H239" s="180">
        <f>H240+H241+H247+H248+H249+H250+H251</f>
        <v>293105.66200000001</v>
      </c>
      <c r="I239" s="180">
        <f t="shared" si="68"/>
        <v>94384.195000000007</v>
      </c>
      <c r="J239" s="181">
        <f>SUM(H239/G239*100)</f>
        <v>147.49572173800428</v>
      </c>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row>
    <row r="240" spans="1:90">
      <c r="A240" s="48">
        <v>7310</v>
      </c>
      <c r="B240" s="49" t="s">
        <v>143</v>
      </c>
      <c r="C240" s="182"/>
      <c r="D240" s="182"/>
      <c r="E240" s="183"/>
      <c r="F240" s="184"/>
      <c r="G240" s="182">
        <v>1422.902</v>
      </c>
      <c r="H240" s="185">
        <f>4067.923+7197.041+1320</f>
        <v>12584.964</v>
      </c>
      <c r="I240" s="183">
        <f>SUM(H240-G240)</f>
        <v>11162.062</v>
      </c>
      <c r="J240" s="160" t="s">
        <v>477</v>
      </c>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row>
    <row r="241" spans="1:90">
      <c r="A241" s="48">
        <v>7320</v>
      </c>
      <c r="B241" s="50" t="s">
        <v>148</v>
      </c>
      <c r="C241" s="183"/>
      <c r="D241" s="183"/>
      <c r="E241" s="183"/>
      <c r="F241" s="184"/>
      <c r="G241" s="182">
        <f>G242+G243+G244+G245+G246</f>
        <v>2896.4840000000004</v>
      </c>
      <c r="H241" s="182">
        <f>H242+H243+H244+H245+H246</f>
        <v>24343.116999999998</v>
      </c>
      <c r="I241" s="183">
        <f>SUM(H241-G241)</f>
        <v>21446.632999999998</v>
      </c>
      <c r="J241" s="160" t="s">
        <v>478</v>
      </c>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row>
    <row r="242" spans="1:90">
      <c r="A242" s="48">
        <v>7321</v>
      </c>
      <c r="B242" s="49" t="s">
        <v>144</v>
      </c>
      <c r="C242" s="186"/>
      <c r="D242" s="182"/>
      <c r="E242" s="183"/>
      <c r="F242" s="184"/>
      <c r="G242" s="182">
        <v>437.93700000000001</v>
      </c>
      <c r="H242" s="182">
        <v>11019.252</v>
      </c>
      <c r="I242" s="183">
        <f>SUM(H242-G242)</f>
        <v>10581.315000000001</v>
      </c>
      <c r="J242" s="160" t="s">
        <v>479</v>
      </c>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row>
    <row r="243" spans="1:90">
      <c r="A243" s="48">
        <v>7322</v>
      </c>
      <c r="B243" s="51" t="s">
        <v>145</v>
      </c>
      <c r="C243" s="186"/>
      <c r="D243" s="182"/>
      <c r="E243" s="183"/>
      <c r="F243" s="184"/>
      <c r="G243" s="182">
        <v>830.48800000000006</v>
      </c>
      <c r="H243" s="182">
        <v>7467.893</v>
      </c>
      <c r="I243" s="183">
        <f>SUM(H243-G243)</f>
        <v>6637.4049999999997</v>
      </c>
      <c r="J243" s="160" t="s">
        <v>480</v>
      </c>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row>
    <row r="244" spans="1:90">
      <c r="A244" s="48">
        <v>7323</v>
      </c>
      <c r="B244" s="51" t="s">
        <v>194</v>
      </c>
      <c r="C244" s="186"/>
      <c r="D244" s="182"/>
      <c r="E244" s="183"/>
      <c r="F244" s="184"/>
      <c r="G244" s="182"/>
      <c r="H244" s="182"/>
      <c r="I244" s="183"/>
      <c r="J244" s="160"/>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row>
    <row r="245" spans="1:90">
      <c r="A245" s="48">
        <v>7324</v>
      </c>
      <c r="B245" s="51" t="s">
        <v>146</v>
      </c>
      <c r="C245" s="186"/>
      <c r="D245" s="182"/>
      <c r="E245" s="183"/>
      <c r="F245" s="184"/>
      <c r="G245" s="182"/>
      <c r="H245" s="182">
        <v>208.286</v>
      </c>
      <c r="I245" s="183">
        <f>SUM(H245-G245)</f>
        <v>208.286</v>
      </c>
      <c r="J245" s="160"/>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row>
    <row r="246" spans="1:90">
      <c r="A246" s="48">
        <v>7325</v>
      </c>
      <c r="B246" s="52" t="s">
        <v>147</v>
      </c>
      <c r="C246" s="186"/>
      <c r="D246" s="182"/>
      <c r="E246" s="183"/>
      <c r="F246" s="184"/>
      <c r="G246" s="182">
        <v>1628.059</v>
      </c>
      <c r="H246" s="182">
        <v>5647.6859999999997</v>
      </c>
      <c r="I246" s="183">
        <f>SUM(H246-G246)</f>
        <v>4019.6269999999995</v>
      </c>
      <c r="J246" s="160" t="s">
        <v>481</v>
      </c>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row>
    <row r="247" spans="1:90">
      <c r="A247" s="53" t="s">
        <v>349</v>
      </c>
      <c r="B247" s="54" t="s">
        <v>350</v>
      </c>
      <c r="C247" s="187"/>
      <c r="D247" s="188"/>
      <c r="E247" s="183"/>
      <c r="F247" s="184"/>
      <c r="G247" s="182">
        <v>1755.3040000000001</v>
      </c>
      <c r="H247" s="182">
        <v>43499.595000000001</v>
      </c>
      <c r="I247" s="183">
        <f>SUM(H247-G247)</f>
        <v>41744.290999999997</v>
      </c>
      <c r="J247" s="160" t="s">
        <v>482</v>
      </c>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row>
    <row r="248" spans="1:90">
      <c r="A248" s="55">
        <v>7340</v>
      </c>
      <c r="B248" s="56" t="s">
        <v>352</v>
      </c>
      <c r="C248" s="189"/>
      <c r="D248" s="190"/>
      <c r="E248" s="183"/>
      <c r="F248" s="184"/>
      <c r="G248" s="182">
        <v>1165.9349999999999</v>
      </c>
      <c r="H248" s="182">
        <v>162.67400000000001</v>
      </c>
      <c r="I248" s="183">
        <f>SUM(H248-G248)</f>
        <v>-1003.261</v>
      </c>
      <c r="J248" s="160">
        <f>SUM(H248/G248*100)</f>
        <v>13.952235759283324</v>
      </c>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row>
    <row r="249" spans="1:90">
      <c r="A249" s="53" t="s">
        <v>351</v>
      </c>
      <c r="B249" s="57" t="s">
        <v>353</v>
      </c>
      <c r="C249" s="191"/>
      <c r="D249" s="188"/>
      <c r="E249" s="183"/>
      <c r="F249" s="184"/>
      <c r="G249" s="182"/>
      <c r="H249" s="182">
        <v>524.56100000000004</v>
      </c>
      <c r="I249" s="183">
        <f>SUM(H249-G249)</f>
        <v>524.56100000000004</v>
      </c>
      <c r="J249" s="160"/>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row>
    <row r="250" spans="1:90">
      <c r="A250" s="53" t="s">
        <v>160</v>
      </c>
      <c r="B250" s="50" t="s">
        <v>161</v>
      </c>
      <c r="C250" s="185">
        <v>399.95</v>
      </c>
      <c r="D250" s="185">
        <v>228</v>
      </c>
      <c r="E250" s="183">
        <f>SUM(D250-C250)</f>
        <v>-171.95</v>
      </c>
      <c r="F250" s="160">
        <f>SUM(D250/C250*100)</f>
        <v>57.00712589073634</v>
      </c>
      <c r="G250" s="182">
        <v>2605.3200000000002</v>
      </c>
      <c r="H250" s="182">
        <v>405.36900000000003</v>
      </c>
      <c r="I250" s="183">
        <f t="shared" ref="I250:I256" si="72">SUM(H250-G250)</f>
        <v>-2199.951</v>
      </c>
      <c r="J250" s="160">
        <f>SUM(H250/G250*100)</f>
        <v>15.559278706646401</v>
      </c>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row>
    <row r="251" spans="1:90" ht="56.25">
      <c r="A251" s="53" t="s">
        <v>386</v>
      </c>
      <c r="B251" s="58" t="s">
        <v>387</v>
      </c>
      <c r="C251" s="185"/>
      <c r="D251" s="185"/>
      <c r="E251" s="183"/>
      <c r="F251" s="160"/>
      <c r="G251" s="182">
        <v>188875.522</v>
      </c>
      <c r="H251" s="182">
        <v>211585.38200000001</v>
      </c>
      <c r="I251" s="183">
        <f>SUM(H251-G251)</f>
        <v>22709.860000000015</v>
      </c>
      <c r="J251" s="160">
        <f>SUM(H251/G251*100)</f>
        <v>112.02371792783185</v>
      </c>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row>
    <row r="252" spans="1:90" ht="20.25">
      <c r="A252" s="66" t="s">
        <v>92</v>
      </c>
      <c r="B252" s="47" t="s">
        <v>149</v>
      </c>
      <c r="C252" s="180">
        <f>SUM(C253+C255)</f>
        <v>700745.67099999997</v>
      </c>
      <c r="D252" s="180">
        <f>SUM(D253+D255)</f>
        <v>534596.42299999995</v>
      </c>
      <c r="E252" s="180">
        <f t="shared" ref="E252:E256" si="73">SUM(D252-C252)</f>
        <v>-166149.24800000002</v>
      </c>
      <c r="F252" s="181">
        <f>SUM(D252/C252*100)</f>
        <v>76.289650457219864</v>
      </c>
      <c r="G252" s="180">
        <f>SUM(G253+G255)</f>
        <v>69887.145999999993</v>
      </c>
      <c r="H252" s="180">
        <f>SUM(H253+H255)</f>
        <v>59707.599000000002</v>
      </c>
      <c r="I252" s="180">
        <f t="shared" si="72"/>
        <v>-10179.546999999991</v>
      </c>
      <c r="J252" s="181">
        <f>SUM(H252/G252*100)</f>
        <v>85.434307190051811</v>
      </c>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row>
    <row r="253" spans="1:90">
      <c r="A253" s="48">
        <v>7420</v>
      </c>
      <c r="B253" s="51" t="s">
        <v>153</v>
      </c>
      <c r="C253" s="183">
        <f>C254</f>
        <v>286100</v>
      </c>
      <c r="D253" s="183">
        <f>D254</f>
        <v>350000</v>
      </c>
      <c r="E253" s="183">
        <f>SUM(D253-C253)</f>
        <v>63900</v>
      </c>
      <c r="F253" s="160">
        <f>SUM(D253/C253*100)</f>
        <v>122.3348479552604</v>
      </c>
      <c r="G253" s="183"/>
      <c r="H253" s="183"/>
      <c r="I253" s="183"/>
      <c r="J253" s="160"/>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row>
    <row r="254" spans="1:90">
      <c r="A254" s="67" t="s">
        <v>152</v>
      </c>
      <c r="B254" s="51" t="s">
        <v>91</v>
      </c>
      <c r="C254" s="183">
        <v>286100</v>
      </c>
      <c r="D254" s="183">
        <v>350000</v>
      </c>
      <c r="E254" s="183">
        <f t="shared" si="73"/>
        <v>63900</v>
      </c>
      <c r="F254" s="160">
        <f>SUM(D254/C254*100)</f>
        <v>122.3348479552604</v>
      </c>
      <c r="G254" s="183"/>
      <c r="H254" s="183"/>
      <c r="I254" s="183"/>
      <c r="J254" s="160"/>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row>
    <row r="255" spans="1:90">
      <c r="A255" s="48">
        <v>7460</v>
      </c>
      <c r="B255" s="51" t="s">
        <v>150</v>
      </c>
      <c r="C255" s="185">
        <f>C256</f>
        <v>414645.67099999997</v>
      </c>
      <c r="D255" s="185">
        <f>D256</f>
        <v>184596.42300000001</v>
      </c>
      <c r="E255" s="183">
        <f t="shared" si="73"/>
        <v>-230049.24799999996</v>
      </c>
      <c r="F255" s="160">
        <f>SUM(D255/C255*100)</f>
        <v>44.519076385099901</v>
      </c>
      <c r="G255" s="185">
        <f>G256</f>
        <v>69887.145999999993</v>
      </c>
      <c r="H255" s="185">
        <f>H256</f>
        <v>59707.599000000002</v>
      </c>
      <c r="I255" s="183">
        <f t="shared" si="72"/>
        <v>-10179.546999999991</v>
      </c>
      <c r="J255" s="160">
        <f>SUM(H255/G255*100)</f>
        <v>85.434307190051811</v>
      </c>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row>
    <row r="256" spans="1:90" ht="37.5">
      <c r="A256" s="48">
        <v>7461</v>
      </c>
      <c r="B256" s="51" t="s">
        <v>151</v>
      </c>
      <c r="C256" s="182">
        <v>414645.67099999997</v>
      </c>
      <c r="D256" s="182">
        <v>184596.42300000001</v>
      </c>
      <c r="E256" s="183">
        <f t="shared" si="73"/>
        <v>-230049.24799999996</v>
      </c>
      <c r="F256" s="160">
        <f>SUM(D256/C256*100)</f>
        <v>44.519076385099901</v>
      </c>
      <c r="G256" s="182">
        <v>69887.145999999993</v>
      </c>
      <c r="H256" s="182">
        <v>59707.599000000002</v>
      </c>
      <c r="I256" s="183">
        <f t="shared" si="72"/>
        <v>-10179.546999999991</v>
      </c>
      <c r="J256" s="160">
        <f>SUM(H256/G256*100)</f>
        <v>85.434307190051811</v>
      </c>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row>
    <row r="257" spans="1:90" ht="37.5">
      <c r="A257" s="53" t="s">
        <v>209</v>
      </c>
      <c r="B257" s="68" t="s">
        <v>210</v>
      </c>
      <c r="C257" s="180"/>
      <c r="D257" s="180"/>
      <c r="E257" s="183"/>
      <c r="F257" s="184"/>
      <c r="G257" s="183"/>
      <c r="H257" s="183"/>
      <c r="I257" s="183"/>
      <c r="J257" s="192"/>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row>
    <row r="258" spans="1:90" ht="20.25">
      <c r="A258" s="72" t="s">
        <v>99</v>
      </c>
      <c r="B258" s="61" t="s">
        <v>154</v>
      </c>
      <c r="C258" s="193">
        <f>SUM(C259:C265)</f>
        <v>20398.656999999999</v>
      </c>
      <c r="D258" s="193">
        <f>SUM(D259:D265)</f>
        <v>27020.148000000001</v>
      </c>
      <c r="E258" s="180">
        <f>SUM(D258-C258)</f>
        <v>6621.4910000000018</v>
      </c>
      <c r="F258" s="181">
        <f>SUM(D258/C258*100)</f>
        <v>132.46042619374404</v>
      </c>
      <c r="G258" s="193">
        <f>SUM(G259:G265)</f>
        <v>842767.929</v>
      </c>
      <c r="H258" s="193">
        <f>SUM(H259:H265)</f>
        <v>837547.99800000002</v>
      </c>
      <c r="I258" s="180">
        <f>SUM(H258-G258)</f>
        <v>-5219.9309999999823</v>
      </c>
      <c r="J258" s="181">
        <f>SUM(H258/G258*100)</f>
        <v>99.38062059312179</v>
      </c>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row>
    <row r="259" spans="1:90">
      <c r="A259" s="69" t="s">
        <v>195</v>
      </c>
      <c r="B259" s="70" t="s">
        <v>98</v>
      </c>
      <c r="C259" s="182"/>
      <c r="D259" s="194"/>
      <c r="E259" s="183"/>
      <c r="F259" s="160"/>
      <c r="G259" s="182"/>
      <c r="H259" s="182"/>
      <c r="I259" s="183"/>
      <c r="J259" s="160"/>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row>
    <row r="260" spans="1:90">
      <c r="A260" s="69" t="s">
        <v>218</v>
      </c>
      <c r="B260" s="71" t="s">
        <v>219</v>
      </c>
      <c r="C260" s="182"/>
      <c r="D260" s="194"/>
      <c r="E260" s="183"/>
      <c r="F260" s="160"/>
      <c r="G260" s="182"/>
      <c r="H260" s="182"/>
      <c r="I260" s="183"/>
      <c r="J260" s="160"/>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row>
    <row r="261" spans="1:90">
      <c r="A261" s="69" t="s">
        <v>155</v>
      </c>
      <c r="B261" s="70" t="s">
        <v>96</v>
      </c>
      <c r="C261" s="182">
        <v>10360.901</v>
      </c>
      <c r="D261" s="194">
        <v>14718.603999999999</v>
      </c>
      <c r="E261" s="183">
        <f>SUM(D261-C261)</f>
        <v>4357.7029999999995</v>
      </c>
      <c r="F261" s="160">
        <f>SUM(D261/C261*100)</f>
        <v>142.0591124266123</v>
      </c>
      <c r="G261" s="182">
        <v>24418.235000000001</v>
      </c>
      <c r="H261" s="185">
        <v>15829.009</v>
      </c>
      <c r="I261" s="183">
        <f t="shared" ref="I261" si="74">SUM(H261-G261)</f>
        <v>-8589.2260000000006</v>
      </c>
      <c r="J261" s="192">
        <f>SUM(H261/G261*100)</f>
        <v>64.824541986757026</v>
      </c>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row>
    <row r="262" spans="1:90">
      <c r="A262" s="69" t="s">
        <v>201</v>
      </c>
      <c r="B262" s="70" t="s">
        <v>202</v>
      </c>
      <c r="C262" s="188"/>
      <c r="D262" s="188"/>
      <c r="E262" s="183"/>
      <c r="F262" s="184"/>
      <c r="G262" s="182"/>
      <c r="H262" s="182"/>
      <c r="I262" s="183"/>
      <c r="J262" s="160"/>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row>
    <row r="263" spans="1:90">
      <c r="A263" s="53" t="s">
        <v>156</v>
      </c>
      <c r="B263" s="70" t="s">
        <v>93</v>
      </c>
      <c r="C263" s="182"/>
      <c r="D263" s="182"/>
      <c r="E263" s="183"/>
      <c r="F263" s="184"/>
      <c r="G263" s="182">
        <f>5700+1500+794947.037</f>
        <v>802147.03700000001</v>
      </c>
      <c r="H263" s="182">
        <v>818630.57900000003</v>
      </c>
      <c r="I263" s="183">
        <f t="shared" ref="I263" si="75">SUM(H263-G263)</f>
        <v>16483.542000000016</v>
      </c>
      <c r="J263" s="160">
        <f>SUM(H263/G263*100)</f>
        <v>102.05492774263033</v>
      </c>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row>
    <row r="264" spans="1:90">
      <c r="A264" s="53" t="s">
        <v>189</v>
      </c>
      <c r="B264" s="70" t="s">
        <v>192</v>
      </c>
      <c r="C264" s="182">
        <v>843.51099999999997</v>
      </c>
      <c r="D264" s="194">
        <v>402.48099999999999</v>
      </c>
      <c r="E264" s="183">
        <f>SUM(D264-C264)</f>
        <v>-441.03</v>
      </c>
      <c r="F264" s="160">
        <f>SUM(D264/C264*100)</f>
        <v>47.714967558217971</v>
      </c>
      <c r="G264" s="182"/>
      <c r="H264" s="182"/>
      <c r="I264" s="183"/>
      <c r="J264" s="160"/>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row>
    <row r="265" spans="1:90">
      <c r="A265" s="53" t="s">
        <v>158</v>
      </c>
      <c r="B265" s="73" t="s">
        <v>157</v>
      </c>
      <c r="C265" s="182">
        <f>C266+C267</f>
        <v>9194.2450000000008</v>
      </c>
      <c r="D265" s="182">
        <f>D266+D267</f>
        <v>11899.063</v>
      </c>
      <c r="E265" s="183">
        <f>SUM(D265-C265)</f>
        <v>2704.8179999999993</v>
      </c>
      <c r="F265" s="160">
        <f>SUM(D265/C265*100)</f>
        <v>129.41859826445781</v>
      </c>
      <c r="G265" s="182">
        <f>G266+G267</f>
        <v>16202.656999999999</v>
      </c>
      <c r="H265" s="182">
        <f>H266+H267</f>
        <v>3088.41</v>
      </c>
      <c r="I265" s="183">
        <f>SUM(H265-G265)</f>
        <v>-13114.246999999999</v>
      </c>
      <c r="J265" s="160">
        <f>SUM(H265/G265*100)</f>
        <v>19.06113299812494</v>
      </c>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row>
    <row r="266" spans="1:90" ht="75">
      <c r="A266" s="53" t="s">
        <v>215</v>
      </c>
      <c r="B266" s="51" t="s">
        <v>216</v>
      </c>
      <c r="C266" s="182"/>
      <c r="D266" s="182"/>
      <c r="E266" s="182"/>
      <c r="F266" s="160"/>
      <c r="G266" s="182">
        <f>18.106</f>
        <v>18.106000000000002</v>
      </c>
      <c r="H266" s="185"/>
      <c r="I266" s="183">
        <f>SUM(H266-G266)</f>
        <v>-18.106000000000002</v>
      </c>
      <c r="J266" s="160">
        <f>SUM(H266/G266*100)</f>
        <v>0</v>
      </c>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row>
    <row r="267" spans="1:90">
      <c r="A267" s="53" t="s">
        <v>159</v>
      </c>
      <c r="B267" s="51" t="s">
        <v>97</v>
      </c>
      <c r="C267" s="182">
        <v>9194.2450000000008</v>
      </c>
      <c r="D267" s="194">
        <v>11899.063</v>
      </c>
      <c r="E267" s="183">
        <f>SUM(D267-C267)</f>
        <v>2704.8179999999993</v>
      </c>
      <c r="F267" s="160">
        <f>SUM(D267/C267*100)</f>
        <v>129.41859826445781</v>
      </c>
      <c r="G267" s="182">
        <v>16184.550999999999</v>
      </c>
      <c r="H267" s="182">
        <f>3054.41+34</f>
        <v>3088.41</v>
      </c>
      <c r="I267" s="183">
        <f>SUM(H267-G267)</f>
        <v>-13096.141</v>
      </c>
      <c r="J267" s="93">
        <f t="shared" ref="J267" si="76">SUM(H267/G267*100)</f>
        <v>19.08245709133358</v>
      </c>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row>
    <row r="268" spans="1:90" ht="20.25">
      <c r="A268" s="59" t="s">
        <v>88</v>
      </c>
      <c r="B268" s="47" t="s">
        <v>174</v>
      </c>
      <c r="C268" s="161">
        <f>SUM(C269)+C272+C281</f>
        <v>46430.808000000005</v>
      </c>
      <c r="D268" s="161">
        <f>SUM(D269)+D272+D281+D277</f>
        <v>133125.65100000001</v>
      </c>
      <c r="E268" s="90">
        <f>SUM(D268-C268)</f>
        <v>86694.843000000008</v>
      </c>
      <c r="F268" s="91" t="s">
        <v>503</v>
      </c>
      <c r="G268" s="161">
        <f>SUM(G269)+G272</f>
        <v>51606.690999999999</v>
      </c>
      <c r="H268" s="161">
        <f>SUM(H269)+H272+H281+H277</f>
        <v>52421.937000000005</v>
      </c>
      <c r="I268" s="90">
        <f t="shared" ref="I268:I270" si="77">SUM(H268-G268)</f>
        <v>815.24600000000646</v>
      </c>
      <c r="J268" s="91">
        <f t="shared" ref="J268" si="78">SUM(H268/G268*100)</f>
        <v>101.57972926417625</v>
      </c>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row>
    <row r="269" spans="1:90" ht="40.5">
      <c r="A269" s="60" t="s">
        <v>162</v>
      </c>
      <c r="B269" s="61" t="s">
        <v>163</v>
      </c>
      <c r="C269" s="193">
        <f>SUM(C270:C271)</f>
        <v>34287.637000000002</v>
      </c>
      <c r="D269" s="193">
        <f>SUM(D270:D271)</f>
        <v>117855.155</v>
      </c>
      <c r="E269" s="180">
        <f>SUM(D269-C269)</f>
        <v>83567.517999999996</v>
      </c>
      <c r="F269" s="91" t="s">
        <v>504</v>
      </c>
      <c r="G269" s="193">
        <f>SUM(G270:G271)</f>
        <v>38694.300999999999</v>
      </c>
      <c r="H269" s="193">
        <f>SUM(H270:H271)</f>
        <v>39308.601000000002</v>
      </c>
      <c r="I269" s="180">
        <f t="shared" si="77"/>
        <v>614.30000000000291</v>
      </c>
      <c r="J269" s="181">
        <f>SUM(H269/G269*100)</f>
        <v>101.58757228874609</v>
      </c>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row>
    <row r="270" spans="1:90">
      <c r="A270" s="53" t="s">
        <v>164</v>
      </c>
      <c r="B270" s="51" t="s">
        <v>165</v>
      </c>
      <c r="C270" s="182">
        <v>34287.637000000002</v>
      </c>
      <c r="D270" s="194">
        <v>117855.155</v>
      </c>
      <c r="E270" s="183">
        <f>SUM(D270-C270)</f>
        <v>83567.517999999996</v>
      </c>
      <c r="F270" s="93" t="s">
        <v>504</v>
      </c>
      <c r="G270" s="182">
        <v>38694.300999999999</v>
      </c>
      <c r="H270" s="182">
        <v>39308.601000000002</v>
      </c>
      <c r="I270" s="183">
        <f t="shared" si="77"/>
        <v>614.30000000000291</v>
      </c>
      <c r="J270" s="160">
        <f>SUM(H270/G270*100)</f>
        <v>101.58757228874609</v>
      </c>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row>
    <row r="271" spans="1:90">
      <c r="A271" s="53" t="s">
        <v>89</v>
      </c>
      <c r="B271" s="51" t="s">
        <v>166</v>
      </c>
      <c r="C271" s="182"/>
      <c r="D271" s="194"/>
      <c r="E271" s="183"/>
      <c r="F271" s="160"/>
      <c r="G271" s="182"/>
      <c r="H271" s="182"/>
      <c r="I271" s="183"/>
      <c r="J271" s="192"/>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row>
    <row r="272" spans="1:90">
      <c r="A272" s="127" t="s">
        <v>171</v>
      </c>
      <c r="B272" s="99" t="s">
        <v>175</v>
      </c>
      <c r="C272" s="161">
        <f>SUM(C273:C275)</f>
        <v>11308.578</v>
      </c>
      <c r="D272" s="161">
        <f>SUM(D273:D275)</f>
        <v>1230.7429999999999</v>
      </c>
      <c r="E272" s="90">
        <f>SUM(D272-C272)</f>
        <v>-10077.834999999999</v>
      </c>
      <c r="F272" s="91">
        <f t="shared" ref="F272:F273" si="79">SUM(D272/C272*100)</f>
        <v>10.883269319979929</v>
      </c>
      <c r="G272" s="161">
        <f>SUM(G273:G275)</f>
        <v>12912.390000000001</v>
      </c>
      <c r="H272" s="161">
        <f>SUM(H273:H275)</f>
        <v>10523.466</v>
      </c>
      <c r="I272" s="90">
        <f t="shared" ref="I272" si="80">SUM(H272-G272)</f>
        <v>-2388.9240000000009</v>
      </c>
      <c r="J272" s="91">
        <f t="shared" ref="J272" si="81">SUM(H272/G272*100)</f>
        <v>81.49897888771946</v>
      </c>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c r="CI272" s="9"/>
      <c r="CJ272" s="9"/>
      <c r="CK272" s="9"/>
      <c r="CL272" s="9"/>
    </row>
    <row r="273" spans="1:90">
      <c r="A273" s="41" t="s">
        <v>172</v>
      </c>
      <c r="B273" s="43" t="s">
        <v>184</v>
      </c>
      <c r="C273" s="165">
        <v>620</v>
      </c>
      <c r="D273" s="166">
        <v>479.35599999999999</v>
      </c>
      <c r="E273" s="92">
        <f>SUM(D273-C273)</f>
        <v>-140.64400000000001</v>
      </c>
      <c r="F273" s="93">
        <f t="shared" si="79"/>
        <v>77.315483870967739</v>
      </c>
      <c r="G273" s="37">
        <v>70.2</v>
      </c>
      <c r="H273" s="37"/>
      <c r="I273" s="92">
        <f>SUM(H273-G273)</f>
        <v>-70.2</v>
      </c>
      <c r="J273" s="93">
        <f t="shared" ref="J273:J282" si="82">SUM(H273/G273*100)</f>
        <v>0</v>
      </c>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c r="CI273" s="9"/>
      <c r="CJ273" s="9"/>
      <c r="CK273" s="9"/>
      <c r="CL273" s="9"/>
    </row>
    <row r="274" spans="1:90">
      <c r="A274" s="41" t="s">
        <v>173</v>
      </c>
      <c r="B274" s="43" t="s">
        <v>176</v>
      </c>
      <c r="C274" s="165"/>
      <c r="D274" s="195">
        <f>2.2+199.811</f>
        <v>202.011</v>
      </c>
      <c r="E274" s="92">
        <f>SUM(D274-C274)</f>
        <v>202.011</v>
      </c>
      <c r="F274" s="93"/>
      <c r="G274" s="37"/>
      <c r="H274" s="37"/>
      <c r="I274" s="92"/>
      <c r="J274" s="94"/>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c r="CG274" s="9"/>
      <c r="CH274" s="9"/>
      <c r="CI274" s="9"/>
      <c r="CJ274" s="9"/>
      <c r="CK274" s="9"/>
      <c r="CL274" s="9"/>
    </row>
    <row r="275" spans="1:90">
      <c r="A275" s="41" t="s">
        <v>315</v>
      </c>
      <c r="B275" s="128" t="s">
        <v>316</v>
      </c>
      <c r="C275" s="196">
        <v>10688.578</v>
      </c>
      <c r="D275" s="166">
        <v>549.37599999999998</v>
      </c>
      <c r="E275" s="92">
        <f>SUM(D275-C275)</f>
        <v>-10139.201999999999</v>
      </c>
      <c r="F275" s="93">
        <f t="shared" ref="F275" si="83">SUM(D275/C275*100)</f>
        <v>5.1398418012199558</v>
      </c>
      <c r="G275" s="37">
        <v>12842.19</v>
      </c>
      <c r="H275" s="169">
        <v>10523.466</v>
      </c>
      <c r="I275" s="92">
        <f>SUM(H275-G275)</f>
        <v>-2318.7240000000002</v>
      </c>
      <c r="J275" s="93">
        <f t="shared" si="82"/>
        <v>81.944481431905302</v>
      </c>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c r="CG275" s="9"/>
      <c r="CH275" s="9"/>
      <c r="CI275" s="9"/>
      <c r="CJ275" s="9"/>
      <c r="CK275" s="9"/>
      <c r="CL275" s="9"/>
    </row>
    <row r="276" spans="1:90">
      <c r="A276" s="41"/>
      <c r="B276" s="128"/>
      <c r="C276" s="196"/>
      <c r="D276" s="166"/>
      <c r="E276" s="92"/>
      <c r="F276" s="93"/>
      <c r="G276" s="37"/>
      <c r="H276" s="169"/>
      <c r="I276" s="92"/>
      <c r="J276" s="93"/>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c r="CG276" s="9"/>
      <c r="CH276" s="9"/>
      <c r="CI276" s="9"/>
      <c r="CJ276" s="9"/>
      <c r="CK276" s="9"/>
      <c r="CL276" s="9"/>
    </row>
    <row r="277" spans="1:90">
      <c r="A277" s="129" t="s">
        <v>417</v>
      </c>
      <c r="B277" s="130" t="s">
        <v>418</v>
      </c>
      <c r="C277" s="197"/>
      <c r="D277" s="197">
        <f>SUM(D278:D280)</f>
        <v>13364.787</v>
      </c>
      <c r="E277" s="90">
        <f>SUM(D277-C277)</f>
        <v>13364.787</v>
      </c>
      <c r="F277" s="91"/>
      <c r="G277" s="161"/>
      <c r="H277" s="197">
        <f>SUM(H278:H280)</f>
        <v>2589.87</v>
      </c>
      <c r="I277" s="90">
        <f>SUM(H277-G277)</f>
        <v>2589.87</v>
      </c>
      <c r="J277" s="93"/>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c r="CG277" s="9"/>
      <c r="CH277" s="9"/>
      <c r="CI277" s="9"/>
      <c r="CJ277" s="9"/>
      <c r="CK277" s="9"/>
      <c r="CL277" s="9"/>
    </row>
    <row r="278" spans="1:90">
      <c r="A278" s="41" t="s">
        <v>419</v>
      </c>
      <c r="B278" s="128" t="s">
        <v>421</v>
      </c>
      <c r="C278" s="196"/>
      <c r="D278" s="166"/>
      <c r="E278" s="92"/>
      <c r="F278" s="91"/>
      <c r="G278" s="37"/>
      <c r="H278" s="169"/>
      <c r="I278" s="92"/>
      <c r="J278" s="93"/>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c r="CI278" s="9"/>
      <c r="CJ278" s="9"/>
      <c r="CK278" s="9"/>
      <c r="CL278" s="9"/>
    </row>
    <row r="279" spans="1:90">
      <c r="A279" s="41" t="s">
        <v>420</v>
      </c>
      <c r="B279" s="128" t="s">
        <v>422</v>
      </c>
      <c r="C279" s="196"/>
      <c r="D279" s="166">
        <v>13364.787</v>
      </c>
      <c r="E279" s="92">
        <f>SUM(D279-C279)</f>
        <v>13364.787</v>
      </c>
      <c r="F279" s="93"/>
      <c r="G279" s="37"/>
      <c r="H279" s="169">
        <v>2300</v>
      </c>
      <c r="I279" s="92">
        <f>SUM(H279-G279)</f>
        <v>2300</v>
      </c>
      <c r="J279" s="93"/>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c r="CG279" s="9"/>
      <c r="CH279" s="9"/>
      <c r="CI279" s="9"/>
      <c r="CJ279" s="9"/>
      <c r="CK279" s="9"/>
      <c r="CL279" s="9"/>
    </row>
    <row r="280" spans="1:90">
      <c r="A280" s="41" t="s">
        <v>423</v>
      </c>
      <c r="B280" s="128" t="s">
        <v>424</v>
      </c>
      <c r="C280" s="196"/>
      <c r="D280" s="166"/>
      <c r="E280" s="92"/>
      <c r="F280" s="93"/>
      <c r="G280" s="37"/>
      <c r="H280" s="169">
        <v>289.87</v>
      </c>
      <c r="I280" s="92">
        <f>SUM(H280-G280)</f>
        <v>289.87</v>
      </c>
      <c r="J280" s="93"/>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c r="CG280" s="9"/>
      <c r="CH280" s="9"/>
      <c r="CI280" s="9"/>
      <c r="CJ280" s="9"/>
      <c r="CK280" s="9"/>
      <c r="CL280" s="9"/>
    </row>
    <row r="281" spans="1:90">
      <c r="A281" s="41" t="s">
        <v>360</v>
      </c>
      <c r="B281" s="128" t="s">
        <v>361</v>
      </c>
      <c r="C281" s="196">
        <v>834.59299999999996</v>
      </c>
      <c r="D281" s="166">
        <v>674.96600000000001</v>
      </c>
      <c r="E281" s="92">
        <f>SUM(D281-C281)</f>
        <v>-159.62699999999995</v>
      </c>
      <c r="F281" s="93">
        <f t="shared" ref="F281" si="84">SUM(D281/C281*100)</f>
        <v>80.873671358374693</v>
      </c>
      <c r="G281" s="37"/>
      <c r="H281" s="169"/>
      <c r="I281" s="92"/>
      <c r="J281" s="93"/>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row>
    <row r="282" spans="1:90" ht="20.25">
      <c r="A282" s="44"/>
      <c r="B282" s="45" t="s">
        <v>16</v>
      </c>
      <c r="C282" s="198">
        <f>C114+C118+C160+C169+C205+C211+C225+C238+C268</f>
        <v>4339987.1060300004</v>
      </c>
      <c r="D282" s="198">
        <f>D114+D118+D160+D169+D205+D211+D225+D238+D268</f>
        <v>4505339.5677299993</v>
      </c>
      <c r="E282" s="90">
        <f>SUM(D282-C282)</f>
        <v>165352.46169999894</v>
      </c>
      <c r="F282" s="91">
        <f t="shared" ref="F282:F283" si="85">SUM(D282/C282*100)</f>
        <v>103.8099758745886</v>
      </c>
      <c r="G282" s="198">
        <f>G114+G118+G160+G169+G205+G211+G225+G238+G268</f>
        <v>2064443.3273199999</v>
      </c>
      <c r="H282" s="198">
        <f>H114+H118+H160+H169+H205+H211+H225+H238+H268</f>
        <v>1846289.0845999999</v>
      </c>
      <c r="I282" s="90">
        <f>SUM(H282-G282)</f>
        <v>-218154.24271999998</v>
      </c>
      <c r="J282" s="91">
        <f t="shared" si="82"/>
        <v>89.432781232934047</v>
      </c>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row>
    <row r="283" spans="1:90" ht="20.25">
      <c r="A283" s="44"/>
      <c r="B283" s="45" t="s">
        <v>14</v>
      </c>
      <c r="C283" s="198">
        <f>SUM(C284:C285)</f>
        <v>276865.21000000002</v>
      </c>
      <c r="D283" s="198">
        <f>SUM(D284:D285)</f>
        <v>97887.112999999998</v>
      </c>
      <c r="E283" s="90">
        <f>SUM(D283-C283)</f>
        <v>-178978.09700000001</v>
      </c>
      <c r="F283" s="91">
        <f t="shared" si="85"/>
        <v>35.355512164204377</v>
      </c>
      <c r="G283" s="198"/>
      <c r="H283" s="198"/>
      <c r="I283" s="90"/>
      <c r="J283" s="97"/>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c r="CG283" s="9"/>
      <c r="CH283" s="9"/>
      <c r="CI283" s="9"/>
      <c r="CJ283" s="9"/>
      <c r="CK283" s="9"/>
      <c r="CL283" s="9"/>
    </row>
    <row r="284" spans="1:90">
      <c r="A284" s="42" t="s">
        <v>196</v>
      </c>
      <c r="B284" s="80" t="s">
        <v>191</v>
      </c>
      <c r="C284" s="92">
        <v>65094.281999999999</v>
      </c>
      <c r="D284" s="166">
        <v>50481.625</v>
      </c>
      <c r="E284" s="92">
        <f t="shared" ref="E284:E285" si="86">SUM(D284-C284)</f>
        <v>-14612.656999999999</v>
      </c>
      <c r="F284" s="93">
        <f>SUM(D284/C284*100)</f>
        <v>77.551550534039222</v>
      </c>
      <c r="G284" s="92"/>
      <c r="H284" s="92"/>
      <c r="I284" s="92"/>
      <c r="J284" s="94"/>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c r="CI284" s="9"/>
      <c r="CJ284" s="9"/>
      <c r="CK284" s="9"/>
      <c r="CL284" s="9"/>
    </row>
    <row r="285" spans="1:90" ht="37.5">
      <c r="A285" s="42" t="s">
        <v>362</v>
      </c>
      <c r="B285" s="80" t="s">
        <v>363</v>
      </c>
      <c r="C285" s="92">
        <v>211770.92800000001</v>
      </c>
      <c r="D285" s="166">
        <v>47405.487999999998</v>
      </c>
      <c r="E285" s="92">
        <f t="shared" si="86"/>
        <v>-164365.44</v>
      </c>
      <c r="F285" s="93">
        <f>SUM(D285/C285*100)</f>
        <v>22.385267159994687</v>
      </c>
      <c r="G285" s="92"/>
      <c r="H285" s="92"/>
      <c r="I285" s="92"/>
      <c r="J285" s="94"/>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c r="CG285" s="9"/>
      <c r="CH285" s="9"/>
      <c r="CI285" s="9"/>
      <c r="CJ285" s="9"/>
      <c r="CK285" s="9"/>
      <c r="CL285" s="9"/>
    </row>
    <row r="286" spans="1:90" ht="20.25">
      <c r="A286" s="117"/>
      <c r="B286" s="131" t="s">
        <v>18</v>
      </c>
      <c r="C286" s="161">
        <f>C282+C283</f>
        <v>4616852.3160300003</v>
      </c>
      <c r="D286" s="161">
        <f>D282+D283</f>
        <v>4603226.6807299992</v>
      </c>
      <c r="E286" s="90">
        <f t="shared" ref="E286:E287" si="87">SUM(D286-C286)</f>
        <v>-13625.63530000113</v>
      </c>
      <c r="F286" s="91">
        <f>SUM(D286/C286*100)</f>
        <v>99.704871753148964</v>
      </c>
      <c r="G286" s="161">
        <f>G282+G283</f>
        <v>2064443.3273199999</v>
      </c>
      <c r="H286" s="161">
        <f>H282+H283</f>
        <v>1846289.0845999999</v>
      </c>
      <c r="I286" s="90">
        <f t="shared" ref="I286" si="88">SUM(H286-G286)</f>
        <v>-218154.24271999998</v>
      </c>
      <c r="J286" s="97">
        <f t="shared" ref="J286" si="89">SUM(H286/G286*100)</f>
        <v>89.432781232934047</v>
      </c>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c r="CG286" s="9"/>
      <c r="CH286" s="9"/>
      <c r="CI286" s="9"/>
      <c r="CJ286" s="9"/>
      <c r="CK286" s="9"/>
      <c r="CL286" s="9"/>
    </row>
    <row r="287" spans="1:90" ht="20.25">
      <c r="A287" s="117"/>
      <c r="B287" s="132" t="s">
        <v>17</v>
      </c>
      <c r="C287" s="90"/>
      <c r="D287" s="90">
        <f>SUM(D289:D290)</f>
        <v>12746.807000000001</v>
      </c>
      <c r="E287" s="90">
        <f t="shared" si="87"/>
        <v>12746.807000000001</v>
      </c>
      <c r="F287" s="94"/>
      <c r="G287" s="90">
        <f>SUM(G289:G290)</f>
        <v>2642.7090000000007</v>
      </c>
      <c r="H287" s="90">
        <f>SUM(H289:H290)</f>
        <v>-3612.6769999999997</v>
      </c>
      <c r="I287" s="90">
        <f t="shared" ref="I287" si="90">SUM(H287-G287)</f>
        <v>-6255.3860000000004</v>
      </c>
      <c r="J287" s="94">
        <f>SUM(H287/G287*100)</f>
        <v>-136.70354927462688</v>
      </c>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c r="CG287" s="9"/>
      <c r="CH287" s="9"/>
      <c r="CI287" s="9"/>
      <c r="CJ287" s="9"/>
      <c r="CK287" s="9"/>
      <c r="CL287" s="9"/>
    </row>
    <row r="288" spans="1:90" ht="40.5">
      <c r="A288" s="62" t="s">
        <v>169</v>
      </c>
      <c r="B288" s="63" t="s">
        <v>170</v>
      </c>
      <c r="C288" s="180"/>
      <c r="D288" s="180"/>
      <c r="E288" s="180"/>
      <c r="F288" s="192"/>
      <c r="G288" s="180">
        <f>SUM(G289:G290)</f>
        <v>2642.7090000000007</v>
      </c>
      <c r="H288" s="180">
        <f>SUM(H289:H290)</f>
        <v>-3612.6769999999997</v>
      </c>
      <c r="I288" s="180">
        <f t="shared" ref="I288" si="91">SUM(H288-G288)</f>
        <v>-6255.3860000000004</v>
      </c>
      <c r="J288" s="192">
        <f>SUM(H288/G288*100)</f>
        <v>-136.70354927462688</v>
      </c>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c r="CG288" s="9"/>
      <c r="CH288" s="9"/>
      <c r="CI288" s="9"/>
      <c r="CJ288" s="9"/>
      <c r="CK288" s="9"/>
      <c r="CL288" s="9"/>
    </row>
    <row r="289" spans="1:90" ht="37.5">
      <c r="A289" s="53" t="s">
        <v>167</v>
      </c>
      <c r="B289" s="64" t="s">
        <v>207</v>
      </c>
      <c r="C289" s="183"/>
      <c r="D289" s="183">
        <v>12746.807000000001</v>
      </c>
      <c r="E289" s="183">
        <f t="shared" ref="E289" si="92">SUM(D289-C289)</f>
        <v>12746.807000000001</v>
      </c>
      <c r="F289" s="192"/>
      <c r="G289" s="183">
        <v>9075.5130000000008</v>
      </c>
      <c r="H289" s="183">
        <v>4271.8360000000002</v>
      </c>
      <c r="I289" s="183">
        <f t="shared" ref="I289" si="93">SUM(H289-G289)</f>
        <v>-4803.6770000000006</v>
      </c>
      <c r="J289" s="192">
        <f>SUM(H289/G289*100)</f>
        <v>47.06991219118963</v>
      </c>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c r="CG289" s="9"/>
      <c r="CH289" s="9"/>
      <c r="CI289" s="9"/>
      <c r="CJ289" s="9"/>
      <c r="CK289" s="9"/>
      <c r="CL289" s="9"/>
    </row>
    <row r="290" spans="1:90" ht="37.5">
      <c r="A290" s="53" t="s">
        <v>168</v>
      </c>
      <c r="B290" s="64" t="s">
        <v>208</v>
      </c>
      <c r="C290" s="183"/>
      <c r="D290" s="183"/>
      <c r="E290" s="183"/>
      <c r="F290" s="160"/>
      <c r="G290" s="183">
        <v>-6432.8040000000001</v>
      </c>
      <c r="H290" s="183">
        <v>-7884.5129999999999</v>
      </c>
      <c r="I290" s="183">
        <f t="shared" ref="I290:I291" si="94">SUM(H290-G290)</f>
        <v>-1451.7089999999998</v>
      </c>
      <c r="J290" s="192">
        <f>SUM(H290/G290*100)</f>
        <v>122.56728170172757</v>
      </c>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c r="CG290" s="9"/>
      <c r="CH290" s="9"/>
      <c r="CI290" s="9"/>
      <c r="CJ290" s="9"/>
      <c r="CK290" s="9"/>
      <c r="CL290" s="9"/>
    </row>
    <row r="291" spans="1:90" ht="20.25">
      <c r="A291" s="133"/>
      <c r="B291" s="132" t="s">
        <v>15</v>
      </c>
      <c r="C291" s="161">
        <f>C286+C287</f>
        <v>4616852.3160300003</v>
      </c>
      <c r="D291" s="161">
        <f>D286+D287</f>
        <v>4615973.4877299992</v>
      </c>
      <c r="E291" s="90">
        <f>SUM(D291-C291)</f>
        <v>-878.82830000109971</v>
      </c>
      <c r="F291" s="91">
        <f>SUM(D291/C291*100)</f>
        <v>99.980964773403088</v>
      </c>
      <c r="G291" s="161">
        <f>G286+G287</f>
        <v>2067086.03632</v>
      </c>
      <c r="H291" s="161">
        <f>H286+H287</f>
        <v>1842676.4076</v>
      </c>
      <c r="I291" s="90">
        <f t="shared" si="94"/>
        <v>-224409.62871999992</v>
      </c>
      <c r="J291" s="97">
        <f t="shared" ref="J291" si="95">SUM(H291/G291*100)</f>
        <v>89.143672552715174</v>
      </c>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c r="CI291" s="9"/>
      <c r="CJ291" s="9"/>
      <c r="CK291" s="9"/>
      <c r="CL291" s="9"/>
    </row>
    <row r="292" spans="1:90" ht="20.25">
      <c r="A292" s="133"/>
      <c r="B292" s="134" t="s">
        <v>19</v>
      </c>
      <c r="C292" s="161"/>
      <c r="D292" s="161"/>
      <c r="E292" s="92"/>
      <c r="F292" s="93"/>
      <c r="G292" s="161"/>
      <c r="H292" s="161"/>
      <c r="I292" s="90"/>
      <c r="J292" s="97"/>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c r="CI292" s="9"/>
      <c r="CJ292" s="9"/>
      <c r="CK292" s="9"/>
      <c r="CL292" s="9"/>
    </row>
    <row r="293" spans="1:90" ht="20.25">
      <c r="A293" s="135"/>
      <c r="B293" s="134" t="s">
        <v>20</v>
      </c>
      <c r="C293" s="161">
        <f>-C294</f>
        <v>1143700.77</v>
      </c>
      <c r="D293" s="161">
        <f>-D294</f>
        <v>904084.10100000002</v>
      </c>
      <c r="E293" s="90">
        <f>SUM(D293-C293)</f>
        <v>-239616.66899999999</v>
      </c>
      <c r="F293" s="91">
        <f>SUM(D293/C293*100)</f>
        <v>79.049006935616561</v>
      </c>
      <c r="G293" s="161">
        <f>-G294-G297</f>
        <v>-1703560.838</v>
      </c>
      <c r="H293" s="161">
        <f>-H294-H297</f>
        <v>-1376522.6779999998</v>
      </c>
      <c r="I293" s="90">
        <f t="shared" ref="I293:I294" si="96">SUM(H293-G293)</f>
        <v>327038.16000000015</v>
      </c>
      <c r="J293" s="97">
        <f t="shared" ref="J293:J294" si="97">SUM(H293/G293*100)</f>
        <v>80.80267210274998</v>
      </c>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c r="CG293" s="9"/>
      <c r="CH293" s="9"/>
      <c r="CI293" s="9"/>
      <c r="CJ293" s="9"/>
      <c r="CK293" s="9"/>
      <c r="CL293" s="9"/>
    </row>
    <row r="294" spans="1:90" ht="20.25">
      <c r="A294" s="126">
        <v>200000</v>
      </c>
      <c r="B294" s="134" t="s">
        <v>21</v>
      </c>
      <c r="C294" s="161">
        <f>SUM(C295:C296)</f>
        <v>-1143700.77</v>
      </c>
      <c r="D294" s="161">
        <f>SUM(D295:D296)</f>
        <v>-904084.10100000002</v>
      </c>
      <c r="E294" s="90">
        <f>SUM(D294-C294)</f>
        <v>239616.66899999999</v>
      </c>
      <c r="F294" s="91">
        <f>SUM(D294/C294*100)</f>
        <v>79.049006935616561</v>
      </c>
      <c r="G294" s="161">
        <f>SUM(G295:G296)</f>
        <v>1707180.7320000001</v>
      </c>
      <c r="H294" s="161">
        <f>SUM(H295:H296)</f>
        <v>1380489.1579999998</v>
      </c>
      <c r="I294" s="90">
        <f t="shared" si="96"/>
        <v>-326691.57400000026</v>
      </c>
      <c r="J294" s="97">
        <f t="shared" si="97"/>
        <v>80.863679639983175</v>
      </c>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c r="CG294" s="9"/>
      <c r="CH294" s="9"/>
      <c r="CI294" s="9"/>
      <c r="CJ294" s="9"/>
      <c r="CK294" s="9"/>
      <c r="CL294" s="9"/>
    </row>
    <row r="295" spans="1:90">
      <c r="A295" s="109">
        <v>205000</v>
      </c>
      <c r="B295" s="40" t="s">
        <v>22</v>
      </c>
      <c r="C295" s="199"/>
      <c r="D295" s="199"/>
      <c r="E295" s="92"/>
      <c r="F295" s="94"/>
      <c r="G295" s="199">
        <v>10494.816000000001</v>
      </c>
      <c r="H295" s="199">
        <v>-7027.1469999999999</v>
      </c>
      <c r="I295" s="92">
        <f>SUM(H295-G295)</f>
        <v>-17521.963</v>
      </c>
      <c r="J295" s="94">
        <f>SUM(H295/G295*100)</f>
        <v>-66.958267777157786</v>
      </c>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c r="CG295" s="9"/>
      <c r="CH295" s="9"/>
      <c r="CI295" s="9"/>
      <c r="CJ295" s="9"/>
      <c r="CK295" s="9"/>
      <c r="CL295" s="9"/>
    </row>
    <row r="296" spans="1:90">
      <c r="A296" s="109">
        <v>208000</v>
      </c>
      <c r="B296" s="40" t="s">
        <v>23</v>
      </c>
      <c r="C296" s="199">
        <v>-1143700.77</v>
      </c>
      <c r="D296" s="199">
        <v>-904084.10100000002</v>
      </c>
      <c r="E296" s="92">
        <f>SUM(D296-C296)</f>
        <v>239616.66899999999</v>
      </c>
      <c r="F296" s="94">
        <f>SUM(D296/C296*100)</f>
        <v>79.049006935616561</v>
      </c>
      <c r="G296" s="199">
        <v>1696685.916</v>
      </c>
      <c r="H296" s="199">
        <v>1387516.3049999999</v>
      </c>
      <c r="I296" s="92">
        <f>SUM(H296-G296)</f>
        <v>-309169.61100000003</v>
      </c>
      <c r="J296" s="94">
        <f>SUM(H296/G296*100)</f>
        <v>81.778029269619992</v>
      </c>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c r="CF296" s="9"/>
      <c r="CG296" s="9"/>
      <c r="CH296" s="9"/>
      <c r="CI296" s="9"/>
      <c r="CJ296" s="9"/>
      <c r="CK296" s="9"/>
      <c r="CL296" s="9"/>
    </row>
    <row r="297" spans="1:90">
      <c r="A297" s="109">
        <v>300000</v>
      </c>
      <c r="B297" s="40" t="s">
        <v>364</v>
      </c>
      <c r="C297" s="199"/>
      <c r="D297" s="199"/>
      <c r="E297" s="92"/>
      <c r="F297" s="94"/>
      <c r="G297" s="199">
        <v>-3619.8939999999998</v>
      </c>
      <c r="H297" s="199">
        <v>-3966.48</v>
      </c>
      <c r="I297" s="92">
        <f>SUM(H297-G297)</f>
        <v>-346.58600000000024</v>
      </c>
      <c r="J297" s="94">
        <f>SUM(H297/G297*100)</f>
        <v>109.57447925270741</v>
      </c>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row>
    <row r="298" spans="1:90" ht="20.25">
      <c r="A298" s="125">
        <v>900230</v>
      </c>
      <c r="B298" s="106" t="s">
        <v>24</v>
      </c>
      <c r="C298" s="161">
        <f>-C293</f>
        <v>-1143700.77</v>
      </c>
      <c r="D298" s="161">
        <f>-D293</f>
        <v>-904084.10100000002</v>
      </c>
      <c r="E298" s="90">
        <f>SUM(D298-C298)</f>
        <v>239616.66899999999</v>
      </c>
      <c r="F298" s="91">
        <f>SUM(D298/C298*100)</f>
        <v>79.049006935616561</v>
      </c>
      <c r="G298" s="161">
        <f>-G293</f>
        <v>1703560.838</v>
      </c>
      <c r="H298" s="161">
        <f>-H293</f>
        <v>1376522.6779999998</v>
      </c>
      <c r="I298" s="90">
        <f>SUM(H298-G298)</f>
        <v>-327038.16000000015</v>
      </c>
      <c r="J298" s="97">
        <f>SUM(H298/G298*100)</f>
        <v>80.80267210274998</v>
      </c>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c r="CG298" s="9"/>
      <c r="CH298" s="9"/>
      <c r="CI298" s="9"/>
      <c r="CJ298" s="9"/>
      <c r="CK298" s="9"/>
      <c r="CL298" s="9"/>
    </row>
    <row r="299" spans="1:90" ht="36" customHeight="1">
      <c r="A299" s="204" t="s">
        <v>323</v>
      </c>
      <c r="B299" s="204"/>
      <c r="C299" s="204"/>
      <c r="D299" s="204"/>
      <c r="E299" s="204"/>
      <c r="F299" s="204"/>
      <c r="G299" s="204"/>
      <c r="H299" s="204"/>
      <c r="I299" s="204"/>
      <c r="J299" s="204"/>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c r="CG299" s="9"/>
      <c r="CH299" s="9"/>
      <c r="CI299" s="9"/>
      <c r="CJ299" s="9"/>
      <c r="CK299" s="9"/>
      <c r="CL299" s="9"/>
    </row>
    <row r="300" spans="1:90" ht="66.75" customHeight="1">
      <c r="A300" s="101" t="s">
        <v>2</v>
      </c>
      <c r="B300" s="102" t="s">
        <v>26</v>
      </c>
      <c r="C300" s="19" t="s">
        <v>425</v>
      </c>
      <c r="D300" s="19" t="s">
        <v>426</v>
      </c>
      <c r="E300" s="103" t="s">
        <v>28</v>
      </c>
      <c r="F300" s="104" t="s">
        <v>29</v>
      </c>
      <c r="G300" s="19"/>
      <c r="H300" s="19"/>
      <c r="I300" s="103"/>
      <c r="J300" s="104"/>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c r="CG300" s="9"/>
      <c r="CH300" s="9"/>
      <c r="CI300" s="9"/>
      <c r="CJ300" s="9"/>
      <c r="CK300" s="9"/>
      <c r="CL300" s="9"/>
    </row>
    <row r="301" spans="1:90" ht="20.25">
      <c r="A301" s="202" t="s">
        <v>488</v>
      </c>
      <c r="B301" s="203"/>
      <c r="C301" s="200"/>
      <c r="D301" s="38"/>
      <c r="E301" s="90"/>
      <c r="F301" s="138"/>
      <c r="G301" s="108"/>
      <c r="H301" s="108"/>
      <c r="I301" s="92"/>
      <c r="J301" s="107"/>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row>
    <row r="302" spans="1:90" ht="20.25">
      <c r="A302" s="159">
        <v>400000</v>
      </c>
      <c r="B302" s="106" t="s">
        <v>25</v>
      </c>
      <c r="C302" s="38">
        <f>C303</f>
        <v>0</v>
      </c>
      <c r="D302" s="38">
        <f>D303</f>
        <v>69163.095000000001</v>
      </c>
      <c r="E302" s="90">
        <f>SUM(D302-C302)</f>
        <v>69163.095000000001</v>
      </c>
      <c r="F302" s="138"/>
      <c r="G302" s="108"/>
      <c r="H302" s="108"/>
      <c r="I302" s="92"/>
      <c r="J302" s="107"/>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row>
    <row r="303" spans="1:90">
      <c r="A303" s="109" t="s">
        <v>486</v>
      </c>
      <c r="B303" s="110" t="s">
        <v>487</v>
      </c>
      <c r="C303" s="35"/>
      <c r="D303" s="35">
        <v>69163.095000000001</v>
      </c>
      <c r="E303" s="92">
        <f>SUM(D303-C303)</f>
        <v>69163.095000000001</v>
      </c>
      <c r="F303" s="107"/>
      <c r="G303" s="111"/>
      <c r="H303" s="111"/>
      <c r="I303" s="92"/>
      <c r="J303" s="107"/>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c r="CG303" s="9"/>
      <c r="CH303" s="9"/>
      <c r="CI303" s="9"/>
      <c r="CJ303" s="9"/>
      <c r="CK303" s="9"/>
      <c r="CL303" s="9"/>
    </row>
    <row r="304" spans="1:90" ht="24" customHeight="1">
      <c r="A304" s="202" t="s">
        <v>489</v>
      </c>
      <c r="B304" s="203"/>
      <c r="C304" s="35"/>
      <c r="D304" s="92"/>
      <c r="E304" s="92"/>
      <c r="F304" s="107"/>
      <c r="G304" s="111"/>
      <c r="H304" s="111"/>
      <c r="I304" s="92"/>
      <c r="J304" s="107"/>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c r="CG304" s="9"/>
      <c r="CH304" s="9"/>
      <c r="CI304" s="9"/>
      <c r="CJ304" s="9"/>
      <c r="CK304" s="9"/>
      <c r="CL304" s="9"/>
    </row>
    <row r="305" spans="1:90" ht="20.25">
      <c r="A305" s="105">
        <v>400000</v>
      </c>
      <c r="B305" s="106" t="s">
        <v>25</v>
      </c>
      <c r="C305" s="38">
        <f>C306</f>
        <v>81646.316999999995</v>
      </c>
      <c r="D305" s="38">
        <f>D306</f>
        <v>81646.316999999995</v>
      </c>
      <c r="E305" s="90">
        <f>SUM(D305-C305)</f>
        <v>0</v>
      </c>
      <c r="F305" s="138">
        <f>SUM(D305/C305*100)</f>
        <v>100</v>
      </c>
      <c r="G305" s="108"/>
      <c r="H305" s="108"/>
      <c r="I305" s="92"/>
      <c r="J305" s="107"/>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c r="CG305" s="9"/>
      <c r="CH305" s="9"/>
      <c r="CI305" s="9"/>
      <c r="CJ305" s="9"/>
      <c r="CK305" s="9"/>
      <c r="CL305" s="9"/>
    </row>
    <row r="306" spans="1:90" ht="37.5">
      <c r="A306" s="109">
        <v>420000</v>
      </c>
      <c r="B306" s="110" t="s">
        <v>27</v>
      </c>
      <c r="C306" s="35">
        <v>81646.316999999995</v>
      </c>
      <c r="D306" s="35">
        <v>81646.316999999995</v>
      </c>
      <c r="E306" s="92">
        <f>SUM(D306-C306)</f>
        <v>0</v>
      </c>
      <c r="F306" s="107">
        <f>SUM(D306/C306*100)</f>
        <v>100</v>
      </c>
      <c r="G306" s="111"/>
      <c r="H306" s="111"/>
      <c r="I306" s="92"/>
      <c r="J306" s="107"/>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c r="CG306" s="9"/>
      <c r="CH306" s="9"/>
      <c r="CI306" s="9"/>
      <c r="CJ306" s="9"/>
      <c r="CK306" s="9"/>
      <c r="CL306" s="9"/>
    </row>
    <row r="307" spans="1:90" ht="20.25">
      <c r="A307" s="105">
        <v>500000</v>
      </c>
      <c r="B307" s="106" t="s">
        <v>309</v>
      </c>
      <c r="C307" s="38">
        <f>SUM(C308)</f>
        <v>11473.450999999999</v>
      </c>
      <c r="D307" s="38">
        <f>SUM(D308)</f>
        <v>7960.4</v>
      </c>
      <c r="E307" s="90">
        <f>SUM(D307-C307)</f>
        <v>-3513.0509999999995</v>
      </c>
      <c r="F307" s="138">
        <f>SUM(D307/C307*100)</f>
        <v>69.38104324496615</v>
      </c>
      <c r="G307" s="108"/>
      <c r="H307" s="108"/>
      <c r="I307" s="92"/>
      <c r="J307" s="107"/>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row>
    <row r="308" spans="1:90">
      <c r="A308" s="88">
        <v>510000</v>
      </c>
      <c r="B308" s="80" t="s">
        <v>310</v>
      </c>
      <c r="C308" s="112">
        <v>11473.450999999999</v>
      </c>
      <c r="D308" s="112">
        <v>7960.4</v>
      </c>
      <c r="E308" s="92">
        <f>SUM(D308-C308)</f>
        <v>-3513.0509999999995</v>
      </c>
      <c r="F308" s="107">
        <f>SUM(D308/C308*100)</f>
        <v>69.38104324496615</v>
      </c>
      <c r="G308" s="111"/>
      <c r="H308" s="111"/>
      <c r="I308" s="92"/>
      <c r="J308" s="107"/>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c r="CF308" s="9"/>
      <c r="CG308" s="9"/>
      <c r="CH308" s="9"/>
      <c r="CI308" s="9"/>
      <c r="CJ308" s="9"/>
      <c r="CK308" s="9"/>
      <c r="CL308" s="9"/>
    </row>
    <row r="309" spans="1:90" ht="20.25">
      <c r="A309" s="113"/>
      <c r="B309" s="106" t="s">
        <v>308</v>
      </c>
      <c r="C309" s="100">
        <f>C302+C305+C307</f>
        <v>93119.767999999996</v>
      </c>
      <c r="D309" s="100">
        <f>D302+D305+D307</f>
        <v>158769.81200000001</v>
      </c>
      <c r="E309" s="90">
        <f>SUM(D309-C309)</f>
        <v>65650.044000000009</v>
      </c>
      <c r="F309" s="138">
        <f>SUM(D309/C309*100)</f>
        <v>170.50065245007914</v>
      </c>
      <c r="G309" s="114"/>
      <c r="H309" s="114"/>
      <c r="I309" s="114"/>
      <c r="J309" s="115"/>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c r="CF309" s="9"/>
      <c r="CG309" s="9"/>
      <c r="CH309" s="9"/>
      <c r="CI309" s="9"/>
      <c r="CJ309" s="9"/>
      <c r="CK309" s="9"/>
      <c r="CL309" s="9"/>
    </row>
    <row r="310" spans="1:90">
      <c r="A310" s="116"/>
      <c r="B310" s="11"/>
      <c r="C310" s="12"/>
      <c r="D310" s="12"/>
      <c r="E310" s="13"/>
      <c r="F310" s="14"/>
      <c r="G310" s="12"/>
      <c r="H310" s="12"/>
      <c r="I310" s="12"/>
      <c r="J310" s="2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c r="CF310" s="9"/>
      <c r="CG310" s="9"/>
      <c r="CH310" s="9"/>
      <c r="CI310" s="9"/>
      <c r="CJ310" s="9"/>
      <c r="CK310" s="9"/>
      <c r="CL310" s="9"/>
    </row>
    <row r="311" spans="1:90">
      <c r="A311" s="10"/>
      <c r="B311" s="11"/>
      <c r="C311" s="12"/>
      <c r="D311" s="12"/>
      <c r="E311" s="13"/>
      <c r="F311" s="14"/>
      <c r="G311" s="12"/>
      <c r="H311" s="12"/>
      <c r="I311" s="12"/>
      <c r="J311" s="2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c r="CF311" s="9"/>
      <c r="CG311" s="9"/>
      <c r="CH311" s="9"/>
      <c r="CI311" s="9"/>
      <c r="CJ311" s="9"/>
      <c r="CK311" s="9"/>
      <c r="CL311" s="9"/>
    </row>
    <row r="312" spans="1:90">
      <c r="A312" s="10"/>
      <c r="B312" s="11"/>
      <c r="C312" s="12"/>
      <c r="D312" s="12"/>
      <c r="E312" s="13"/>
      <c r="F312" s="14"/>
      <c r="G312" s="12"/>
      <c r="H312" s="12"/>
      <c r="I312" s="12"/>
      <c r="J312" s="2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c r="CF312" s="9"/>
      <c r="CG312" s="9"/>
      <c r="CH312" s="9"/>
      <c r="CI312" s="9"/>
      <c r="CJ312" s="9"/>
      <c r="CK312" s="9"/>
      <c r="CL312" s="9"/>
    </row>
    <row r="313" spans="1:90">
      <c r="A313" s="10"/>
      <c r="B313" s="11"/>
      <c r="C313" s="12"/>
      <c r="D313" s="12"/>
      <c r="E313" s="13"/>
      <c r="F313" s="14"/>
      <c r="G313" s="12"/>
      <c r="H313" s="12"/>
      <c r="I313" s="12"/>
      <c r="J313" s="2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c r="CF313" s="9"/>
      <c r="CG313" s="9"/>
      <c r="CH313" s="9"/>
      <c r="CI313" s="9"/>
      <c r="CJ313" s="9"/>
      <c r="CK313" s="9"/>
      <c r="CL313" s="9"/>
    </row>
    <row r="314" spans="1:90">
      <c r="A314" s="10"/>
      <c r="B314" s="11"/>
      <c r="C314" s="12"/>
      <c r="D314" s="12"/>
      <c r="E314" s="13"/>
      <c r="F314" s="14"/>
      <c r="G314" s="12"/>
      <c r="H314" s="12"/>
      <c r="I314" s="12"/>
      <c r="J314" s="2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c r="CF314" s="9"/>
      <c r="CG314" s="9"/>
      <c r="CH314" s="9"/>
      <c r="CI314" s="9"/>
      <c r="CJ314" s="9"/>
      <c r="CK314" s="9"/>
      <c r="CL314" s="9"/>
    </row>
    <row r="315" spans="1:90">
      <c r="A315" s="10"/>
      <c r="B315" s="11"/>
      <c r="C315" s="12"/>
      <c r="D315" s="12"/>
      <c r="E315" s="13"/>
      <c r="F315" s="14"/>
      <c r="G315" s="12"/>
      <c r="H315" s="12"/>
      <c r="I315" s="12"/>
      <c r="J315" s="2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c r="CF315" s="9"/>
      <c r="CG315" s="9"/>
      <c r="CH315" s="9"/>
      <c r="CI315" s="9"/>
      <c r="CJ315" s="9"/>
      <c r="CK315" s="9"/>
      <c r="CL315" s="9"/>
    </row>
    <row r="316" spans="1:90">
      <c r="A316" s="10"/>
      <c r="B316" s="11"/>
      <c r="C316" s="12"/>
      <c r="D316" s="12"/>
      <c r="E316" s="13"/>
      <c r="F316" s="14"/>
      <c r="G316" s="12"/>
      <c r="H316" s="12"/>
      <c r="I316" s="12"/>
      <c r="J316" s="2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c r="CF316" s="9"/>
      <c r="CG316" s="9"/>
      <c r="CH316" s="9"/>
      <c r="CI316" s="9"/>
      <c r="CJ316" s="9"/>
      <c r="CK316" s="9"/>
      <c r="CL316" s="9"/>
    </row>
    <row r="317" spans="1:90">
      <c r="A317" s="10"/>
      <c r="B317" s="11"/>
      <c r="C317" s="12"/>
      <c r="D317" s="12"/>
      <c r="E317" s="13"/>
      <c r="F317" s="14"/>
      <c r="G317" s="12"/>
      <c r="H317" s="12"/>
      <c r="I317" s="12"/>
      <c r="J317" s="2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c r="CF317" s="9"/>
      <c r="CG317" s="9"/>
      <c r="CH317" s="9"/>
      <c r="CI317" s="9"/>
      <c r="CJ317" s="9"/>
      <c r="CK317" s="9"/>
      <c r="CL317" s="9"/>
    </row>
    <row r="318" spans="1:90">
      <c r="A318" s="10"/>
      <c r="B318" s="11"/>
      <c r="C318" s="12"/>
      <c r="D318" s="12"/>
      <c r="E318" s="13"/>
      <c r="F318" s="14"/>
      <c r="G318" s="12"/>
      <c r="H318" s="12"/>
      <c r="I318" s="12"/>
      <c r="J318" s="2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c r="CF318" s="9"/>
      <c r="CG318" s="9"/>
      <c r="CH318" s="9"/>
      <c r="CI318" s="9"/>
      <c r="CJ318" s="9"/>
      <c r="CK318" s="9"/>
      <c r="CL318" s="9"/>
    </row>
    <row r="319" spans="1:90">
      <c r="A319" s="10"/>
      <c r="B319" s="11"/>
      <c r="C319" s="12"/>
      <c r="D319" s="12"/>
      <c r="E319" s="13"/>
      <c r="F319" s="14"/>
      <c r="G319" s="12"/>
      <c r="H319" s="12"/>
      <c r="I319" s="12"/>
      <c r="J319" s="2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c r="CF319" s="9"/>
      <c r="CG319" s="9"/>
      <c r="CH319" s="9"/>
      <c r="CI319" s="9"/>
      <c r="CJ319" s="9"/>
      <c r="CK319" s="9"/>
      <c r="CL319" s="9"/>
    </row>
    <row r="320" spans="1:90">
      <c r="A320" s="10"/>
      <c r="B320" s="11"/>
      <c r="C320" s="12"/>
      <c r="D320" s="12"/>
      <c r="E320" s="13"/>
      <c r="F320" s="14"/>
      <c r="G320" s="12"/>
      <c r="H320" s="12"/>
      <c r="I320" s="12"/>
      <c r="J320" s="2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c r="CF320" s="9"/>
      <c r="CG320" s="9"/>
      <c r="CH320" s="9"/>
      <c r="CI320" s="9"/>
      <c r="CJ320" s="9"/>
      <c r="CK320" s="9"/>
      <c r="CL320" s="9"/>
    </row>
    <row r="321" spans="1:90">
      <c r="A321" s="10"/>
      <c r="B321" s="11"/>
      <c r="C321" s="12"/>
      <c r="D321" s="12"/>
      <c r="E321" s="13"/>
      <c r="F321" s="14"/>
      <c r="G321" s="12"/>
      <c r="H321" s="12"/>
      <c r="I321" s="12"/>
      <c r="J321" s="2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c r="CF321" s="9"/>
      <c r="CG321" s="9"/>
      <c r="CH321" s="9"/>
      <c r="CI321" s="9"/>
      <c r="CJ321" s="9"/>
      <c r="CK321" s="9"/>
      <c r="CL321" s="9"/>
    </row>
    <row r="322" spans="1:90">
      <c r="A322" s="10"/>
      <c r="B322" s="11"/>
      <c r="C322" s="12"/>
      <c r="D322" s="12"/>
      <c r="E322" s="13"/>
      <c r="F322" s="14"/>
      <c r="G322" s="12"/>
      <c r="H322" s="12"/>
      <c r="I322" s="12"/>
      <c r="J322" s="2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c r="CF322" s="9"/>
      <c r="CG322" s="9"/>
      <c r="CH322" s="9"/>
      <c r="CI322" s="9"/>
      <c r="CJ322" s="9"/>
      <c r="CK322" s="9"/>
      <c r="CL322" s="9"/>
    </row>
    <row r="323" spans="1:90">
      <c r="A323" s="10"/>
      <c r="B323" s="11"/>
      <c r="C323" s="12"/>
      <c r="D323" s="12"/>
      <c r="E323" s="13"/>
      <c r="F323" s="14"/>
      <c r="G323" s="12"/>
      <c r="H323" s="12"/>
      <c r="I323" s="12"/>
      <c r="J323" s="2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c r="CF323" s="9"/>
      <c r="CG323" s="9"/>
      <c r="CH323" s="9"/>
      <c r="CI323" s="9"/>
      <c r="CJ323" s="9"/>
      <c r="CK323" s="9"/>
      <c r="CL323" s="9"/>
    </row>
    <row r="324" spans="1:90">
      <c r="A324" s="10"/>
      <c r="B324" s="11"/>
      <c r="C324" s="12"/>
      <c r="D324" s="12"/>
      <c r="E324" s="13"/>
      <c r="F324" s="14"/>
      <c r="G324" s="12"/>
      <c r="H324" s="12"/>
      <c r="I324" s="12"/>
      <c r="J324" s="2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c r="CF324" s="9"/>
      <c r="CG324" s="9"/>
      <c r="CH324" s="9"/>
      <c r="CI324" s="9"/>
      <c r="CJ324" s="9"/>
      <c r="CK324" s="9"/>
      <c r="CL324" s="9"/>
    </row>
    <row r="325" spans="1:90">
      <c r="A325" s="10"/>
      <c r="B325" s="11"/>
      <c r="C325" s="12"/>
      <c r="D325" s="12"/>
      <c r="E325" s="13"/>
      <c r="F325" s="14"/>
      <c r="G325" s="12"/>
      <c r="H325" s="12"/>
      <c r="I325" s="12"/>
      <c r="J325" s="2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c r="CF325" s="9"/>
      <c r="CG325" s="9"/>
      <c r="CH325" s="9"/>
      <c r="CI325" s="9"/>
      <c r="CJ325" s="9"/>
      <c r="CK325" s="9"/>
      <c r="CL325" s="9"/>
    </row>
    <row r="326" spans="1:90">
      <c r="A326" s="10"/>
      <c r="B326" s="11"/>
      <c r="C326" s="12"/>
      <c r="D326" s="12"/>
      <c r="E326" s="13"/>
      <c r="F326" s="14"/>
      <c r="G326" s="12"/>
      <c r="H326" s="12"/>
      <c r="I326" s="12"/>
      <c r="J326" s="2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c r="CF326" s="9"/>
      <c r="CG326" s="9"/>
      <c r="CH326" s="9"/>
      <c r="CI326" s="9"/>
      <c r="CJ326" s="9"/>
      <c r="CK326" s="9"/>
      <c r="CL326" s="9"/>
    </row>
    <row r="327" spans="1:90">
      <c r="A327" s="10"/>
      <c r="B327" s="11"/>
      <c r="C327" s="12"/>
      <c r="D327" s="12"/>
      <c r="E327" s="13"/>
      <c r="F327" s="14"/>
      <c r="G327" s="12"/>
      <c r="H327" s="12"/>
      <c r="I327" s="12"/>
      <c r="J327" s="2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c r="CF327" s="9"/>
      <c r="CG327" s="9"/>
      <c r="CH327" s="9"/>
      <c r="CI327" s="9"/>
      <c r="CJ327" s="9"/>
      <c r="CK327" s="9"/>
      <c r="CL327" s="9"/>
    </row>
    <row r="328" spans="1:90">
      <c r="A328" s="10"/>
      <c r="B328" s="11"/>
      <c r="C328" s="12"/>
      <c r="D328" s="12"/>
      <c r="E328" s="13"/>
      <c r="F328" s="14"/>
      <c r="G328" s="12"/>
      <c r="H328" s="12"/>
      <c r="I328" s="12"/>
      <c r="J328" s="2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c r="CF328" s="9"/>
      <c r="CG328" s="9"/>
      <c r="CH328" s="9"/>
      <c r="CI328" s="9"/>
      <c r="CJ328" s="9"/>
      <c r="CK328" s="9"/>
      <c r="CL328" s="9"/>
    </row>
    <row r="329" spans="1:90">
      <c r="A329" s="10"/>
      <c r="B329" s="11"/>
      <c r="C329" s="12"/>
      <c r="D329" s="12"/>
      <c r="E329" s="13"/>
      <c r="F329" s="14"/>
      <c r="G329" s="12"/>
      <c r="H329" s="12"/>
      <c r="I329" s="12"/>
      <c r="J329" s="2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row>
    <row r="330" spans="1:90">
      <c r="A330" s="10"/>
      <c r="B330" s="11"/>
      <c r="C330" s="12"/>
      <c r="D330" s="12"/>
      <c r="E330" s="13"/>
      <c r="F330" s="14"/>
      <c r="G330" s="12"/>
      <c r="H330" s="12"/>
      <c r="I330" s="12"/>
      <c r="J330" s="2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row>
    <row r="331" spans="1:90">
      <c r="A331" s="10"/>
      <c r="B331" s="11"/>
      <c r="C331" s="12"/>
      <c r="D331" s="12"/>
      <c r="E331" s="13"/>
      <c r="F331" s="14"/>
      <c r="G331" s="12"/>
      <c r="H331" s="12"/>
      <c r="I331" s="12"/>
      <c r="J331" s="2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row>
    <row r="332" spans="1:90">
      <c r="A332" s="10"/>
      <c r="B332" s="11"/>
      <c r="C332" s="12"/>
      <c r="D332" s="12"/>
      <c r="E332" s="13"/>
      <c r="F332" s="14"/>
      <c r="G332" s="12"/>
      <c r="H332" s="12"/>
      <c r="I332" s="12"/>
      <c r="J332" s="2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row>
    <row r="333" spans="1:90">
      <c r="A333" s="10"/>
      <c r="B333" s="11"/>
      <c r="C333" s="12"/>
      <c r="D333" s="12"/>
      <c r="E333" s="13"/>
      <c r="F333" s="14"/>
      <c r="G333" s="12"/>
      <c r="H333" s="12"/>
      <c r="I333" s="12"/>
      <c r="J333" s="2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row>
    <row r="334" spans="1:90">
      <c r="A334" s="10"/>
      <c r="B334" s="11"/>
      <c r="C334" s="12"/>
      <c r="D334" s="12"/>
      <c r="E334" s="13"/>
      <c r="F334" s="14"/>
      <c r="G334" s="12"/>
      <c r="H334" s="12"/>
      <c r="I334" s="12"/>
      <c r="J334" s="2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row>
    <row r="335" spans="1:90">
      <c r="A335" s="10"/>
      <c r="B335" s="11"/>
      <c r="C335" s="12"/>
      <c r="D335" s="12"/>
      <c r="E335" s="13"/>
      <c r="F335" s="14"/>
      <c r="G335" s="12"/>
      <c r="H335" s="12"/>
      <c r="I335" s="12"/>
      <c r="J335" s="2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row>
    <row r="336" spans="1:90">
      <c r="A336" s="10"/>
      <c r="B336" s="11"/>
      <c r="C336" s="12"/>
      <c r="D336" s="12"/>
      <c r="E336" s="13"/>
      <c r="F336" s="14"/>
      <c r="G336" s="12"/>
      <c r="H336" s="12"/>
      <c r="I336" s="12"/>
      <c r="J336" s="2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row>
    <row r="337" spans="1:59">
      <c r="A337" s="10"/>
      <c r="B337" s="11"/>
      <c r="C337" s="12"/>
      <c r="D337" s="12"/>
      <c r="E337" s="13"/>
      <c r="F337" s="14"/>
      <c r="G337" s="12"/>
      <c r="H337" s="12"/>
      <c r="I337" s="12"/>
      <c r="J337" s="2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row>
    <row r="338" spans="1:59">
      <c r="A338" s="10"/>
      <c r="B338" s="11"/>
      <c r="C338" s="12"/>
      <c r="D338" s="12"/>
      <c r="E338" s="13"/>
      <c r="F338" s="14"/>
      <c r="G338" s="12"/>
      <c r="H338" s="12"/>
      <c r="I338" s="12"/>
      <c r="J338" s="2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row>
    <row r="339" spans="1:59">
      <c r="A339" s="10"/>
      <c r="B339" s="11"/>
      <c r="C339" s="12"/>
      <c r="D339" s="12"/>
      <c r="E339" s="13"/>
      <c r="F339" s="14"/>
      <c r="G339" s="12"/>
      <c r="H339" s="12"/>
      <c r="I339" s="12"/>
      <c r="J339" s="2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row>
    <row r="340" spans="1:59">
      <c r="A340" s="10"/>
      <c r="B340" s="11"/>
      <c r="C340" s="12"/>
      <c r="D340" s="12"/>
      <c r="E340" s="13"/>
      <c r="F340" s="14"/>
      <c r="G340" s="12"/>
      <c r="H340" s="12"/>
      <c r="I340" s="12"/>
      <c r="J340" s="2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row>
    <row r="341" spans="1:59">
      <c r="A341" s="10"/>
      <c r="B341" s="11"/>
      <c r="C341" s="12"/>
      <c r="D341" s="12"/>
      <c r="E341" s="13"/>
      <c r="F341" s="14"/>
      <c r="G341" s="12"/>
      <c r="H341" s="12"/>
      <c r="I341" s="12"/>
      <c r="J341" s="2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row>
    <row r="342" spans="1:59">
      <c r="A342" s="10"/>
      <c r="B342" s="11"/>
      <c r="C342" s="12"/>
      <c r="D342" s="12"/>
      <c r="E342" s="13"/>
      <c r="F342" s="14"/>
      <c r="G342" s="12"/>
      <c r="H342" s="12"/>
      <c r="I342" s="12"/>
      <c r="J342" s="2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row>
    <row r="343" spans="1:59">
      <c r="A343" s="10"/>
      <c r="B343" s="11"/>
      <c r="C343" s="12"/>
      <c r="D343" s="12"/>
      <c r="E343" s="13"/>
      <c r="F343" s="14"/>
      <c r="G343" s="12"/>
      <c r="H343" s="12"/>
      <c r="I343" s="12"/>
      <c r="J343" s="2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row>
    <row r="344" spans="1:59">
      <c r="A344" s="10"/>
      <c r="B344" s="11"/>
      <c r="C344" s="12"/>
      <c r="D344" s="12"/>
      <c r="E344" s="13"/>
      <c r="F344" s="14"/>
      <c r="G344" s="12"/>
      <c r="H344" s="12"/>
      <c r="I344" s="12"/>
      <c r="J344" s="2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row>
    <row r="345" spans="1:59">
      <c r="A345" s="10"/>
      <c r="B345" s="11"/>
      <c r="C345" s="12"/>
      <c r="D345" s="12"/>
      <c r="E345" s="13"/>
      <c r="F345" s="14"/>
      <c r="G345" s="12"/>
      <c r="H345" s="12"/>
      <c r="I345" s="12"/>
      <c r="J345" s="2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row>
    <row r="346" spans="1:59">
      <c r="A346" s="10"/>
      <c r="B346" s="11"/>
      <c r="C346" s="12"/>
      <c r="D346" s="12"/>
      <c r="E346" s="13"/>
      <c r="F346" s="14"/>
      <c r="G346" s="12"/>
      <c r="H346" s="12"/>
      <c r="I346" s="12"/>
      <c r="J346" s="2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row>
    <row r="347" spans="1:59">
      <c r="A347" s="10"/>
      <c r="B347" s="11"/>
      <c r="C347" s="12"/>
      <c r="D347" s="12"/>
      <c r="E347" s="13"/>
      <c r="F347" s="14"/>
      <c r="G347" s="12"/>
      <c r="H347" s="12"/>
      <c r="I347" s="12"/>
      <c r="J347" s="2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row>
    <row r="348" spans="1:59">
      <c r="A348" s="10"/>
      <c r="B348" s="11"/>
      <c r="C348" s="12"/>
      <c r="D348" s="12"/>
      <c r="E348" s="13"/>
      <c r="F348" s="14"/>
      <c r="G348" s="12"/>
      <c r="H348" s="12"/>
      <c r="I348" s="12"/>
      <c r="J348" s="2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row>
    <row r="349" spans="1:59">
      <c r="A349" s="10"/>
      <c r="B349" s="11"/>
      <c r="C349" s="12"/>
      <c r="D349" s="12"/>
      <c r="E349" s="13"/>
      <c r="F349" s="14"/>
      <c r="G349" s="12"/>
      <c r="H349" s="12"/>
      <c r="I349" s="12"/>
      <c r="J349" s="2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row>
    <row r="350" spans="1:59">
      <c r="A350" s="10"/>
      <c r="B350" s="11"/>
      <c r="C350" s="12"/>
      <c r="D350" s="12"/>
      <c r="E350" s="13"/>
      <c r="F350" s="14"/>
      <c r="G350" s="12"/>
      <c r="H350" s="12"/>
      <c r="I350" s="12"/>
      <c r="J350" s="2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row>
    <row r="351" spans="1:59">
      <c r="A351" s="10"/>
      <c r="B351" s="11"/>
      <c r="C351" s="12"/>
      <c r="D351" s="12"/>
      <c r="E351" s="13"/>
      <c r="F351" s="14"/>
      <c r="G351" s="12"/>
      <c r="H351" s="12"/>
      <c r="I351" s="12"/>
      <c r="J351" s="2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row>
    <row r="352" spans="1:59">
      <c r="A352" s="10"/>
      <c r="B352" s="11"/>
      <c r="C352" s="12"/>
      <c r="D352" s="12"/>
      <c r="E352" s="13"/>
      <c r="F352" s="14"/>
      <c r="G352" s="12"/>
      <c r="H352" s="12"/>
      <c r="I352" s="12"/>
      <c r="J352" s="2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row>
    <row r="353" spans="1:59">
      <c r="A353" s="10"/>
      <c r="B353" s="11"/>
      <c r="C353" s="12"/>
      <c r="D353" s="12"/>
      <c r="E353" s="13"/>
      <c r="F353" s="14"/>
      <c r="G353" s="12"/>
      <c r="H353" s="12"/>
      <c r="I353" s="12"/>
      <c r="J353" s="2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row>
    <row r="354" spans="1:59">
      <c r="A354" s="10"/>
      <c r="B354" s="11"/>
      <c r="C354" s="12"/>
      <c r="D354" s="12"/>
      <c r="E354" s="13"/>
      <c r="F354" s="14"/>
      <c r="G354" s="12"/>
      <c r="H354" s="12"/>
      <c r="I354" s="12"/>
      <c r="J354" s="2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row>
    <row r="355" spans="1:59">
      <c r="A355" s="10"/>
      <c r="B355" s="11"/>
      <c r="C355" s="12"/>
      <c r="D355" s="12"/>
      <c r="E355" s="13"/>
      <c r="F355" s="14"/>
      <c r="G355" s="12"/>
      <c r="H355" s="12"/>
      <c r="I355" s="12"/>
      <c r="J355" s="2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c r="BB355" s="9"/>
      <c r="BC355" s="9"/>
      <c r="BD355" s="9"/>
      <c r="BE355" s="9"/>
      <c r="BF355" s="9"/>
      <c r="BG355" s="9"/>
    </row>
    <row r="356" spans="1:59">
      <c r="A356" s="10"/>
      <c r="B356" s="11"/>
      <c r="C356" s="12"/>
      <c r="D356" s="12"/>
      <c r="E356" s="13"/>
      <c r="F356" s="14"/>
      <c r="G356" s="12"/>
      <c r="H356" s="12"/>
      <c r="I356" s="12"/>
      <c r="J356" s="2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c r="BB356" s="9"/>
      <c r="BC356" s="9"/>
      <c r="BD356" s="9"/>
      <c r="BE356" s="9"/>
      <c r="BF356" s="9"/>
      <c r="BG356" s="9"/>
    </row>
    <row r="357" spans="1:59">
      <c r="A357" s="10"/>
      <c r="B357" s="11"/>
      <c r="C357" s="12"/>
      <c r="D357" s="12"/>
      <c r="E357" s="13"/>
      <c r="F357" s="14"/>
      <c r="G357" s="12"/>
      <c r="H357" s="12"/>
      <c r="I357" s="12"/>
      <c r="J357" s="2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row>
    <row r="358" spans="1:59">
      <c r="A358" s="10"/>
      <c r="B358" s="11"/>
      <c r="C358" s="12"/>
      <c r="D358" s="12"/>
      <c r="E358" s="13"/>
      <c r="F358" s="14"/>
      <c r="G358" s="12"/>
      <c r="H358" s="12"/>
      <c r="I358" s="12"/>
      <c r="J358" s="2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9"/>
      <c r="BC358" s="9"/>
      <c r="BD358" s="9"/>
      <c r="BE358" s="9"/>
      <c r="BF358" s="9"/>
      <c r="BG358" s="9"/>
    </row>
    <row r="359" spans="1:59">
      <c r="A359" s="10"/>
      <c r="B359" s="11"/>
      <c r="C359" s="12"/>
      <c r="D359" s="12"/>
      <c r="E359" s="13"/>
      <c r="F359" s="14"/>
      <c r="G359" s="12"/>
      <c r="H359" s="12"/>
      <c r="I359" s="12"/>
      <c r="J359" s="2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c r="BB359" s="9"/>
      <c r="BC359" s="9"/>
      <c r="BD359" s="9"/>
      <c r="BE359" s="9"/>
      <c r="BF359" s="9"/>
      <c r="BG359" s="9"/>
    </row>
    <row r="360" spans="1:59">
      <c r="A360" s="10"/>
      <c r="B360" s="11"/>
      <c r="C360" s="12"/>
      <c r="D360" s="12"/>
      <c r="E360" s="13"/>
      <c r="F360" s="14"/>
      <c r="G360" s="12"/>
      <c r="H360" s="12"/>
      <c r="I360" s="12"/>
      <c r="J360" s="2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row>
    <row r="361" spans="1:59">
      <c r="A361" s="10"/>
      <c r="B361" s="11"/>
      <c r="C361" s="12"/>
      <c r="D361" s="12"/>
      <c r="E361" s="13"/>
      <c r="F361" s="14"/>
      <c r="G361" s="12"/>
      <c r="H361" s="12"/>
      <c r="I361" s="12"/>
      <c r="J361" s="2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row>
    <row r="362" spans="1:59">
      <c r="A362" s="10"/>
      <c r="B362" s="11"/>
      <c r="C362" s="12"/>
      <c r="D362" s="12"/>
      <c r="E362" s="13"/>
      <c r="F362" s="14"/>
      <c r="G362" s="12"/>
      <c r="H362" s="12"/>
      <c r="I362" s="12"/>
      <c r="J362" s="2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row>
    <row r="363" spans="1:59">
      <c r="A363" s="10"/>
      <c r="B363" s="11"/>
      <c r="C363" s="12"/>
      <c r="D363" s="12"/>
      <c r="E363" s="13"/>
      <c r="F363" s="14"/>
      <c r="G363" s="12"/>
      <c r="H363" s="12"/>
      <c r="I363" s="12"/>
      <c r="J363" s="2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c r="BB363" s="9"/>
      <c r="BC363" s="9"/>
      <c r="BD363" s="9"/>
      <c r="BE363" s="9"/>
      <c r="BF363" s="9"/>
      <c r="BG363" s="9"/>
    </row>
    <row r="364" spans="1:59">
      <c r="A364" s="10"/>
      <c r="B364" s="11"/>
      <c r="C364" s="12"/>
      <c r="D364" s="12"/>
      <c r="E364" s="13"/>
      <c r="F364" s="14"/>
      <c r="G364" s="12"/>
      <c r="H364" s="12"/>
      <c r="I364" s="12"/>
      <c r="J364" s="2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row>
    <row r="365" spans="1:59">
      <c r="A365" s="10"/>
      <c r="B365" s="11"/>
      <c r="C365" s="12"/>
      <c r="D365" s="12"/>
      <c r="E365" s="13"/>
      <c r="F365" s="14"/>
      <c r="G365" s="12"/>
      <c r="H365" s="12"/>
      <c r="I365" s="12"/>
      <c r="J365" s="2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row>
    <row r="366" spans="1:59">
      <c r="A366" s="10"/>
      <c r="B366" s="11"/>
      <c r="C366" s="12"/>
      <c r="D366" s="12"/>
      <c r="E366" s="13"/>
      <c r="F366" s="14"/>
      <c r="G366" s="12"/>
      <c r="H366" s="12"/>
      <c r="I366" s="12"/>
      <c r="J366" s="2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row>
    <row r="367" spans="1:59">
      <c r="A367" s="10"/>
      <c r="B367" s="11"/>
      <c r="C367" s="12"/>
      <c r="D367" s="12"/>
      <c r="E367" s="13"/>
      <c r="F367" s="14"/>
      <c r="G367" s="12"/>
      <c r="H367" s="12"/>
      <c r="I367" s="12"/>
      <c r="J367" s="2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row>
    <row r="368" spans="1:59">
      <c r="A368" s="10"/>
      <c r="B368" s="11"/>
      <c r="C368" s="12"/>
      <c r="D368" s="12"/>
      <c r="E368" s="13"/>
      <c r="F368" s="14"/>
      <c r="G368" s="12"/>
      <c r="H368" s="12"/>
      <c r="I368" s="12"/>
      <c r="J368" s="2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row>
    <row r="369" spans="1:59">
      <c r="A369" s="10"/>
      <c r="B369" s="11"/>
      <c r="C369" s="12"/>
      <c r="D369" s="12"/>
      <c r="E369" s="13"/>
      <c r="F369" s="14"/>
      <c r="G369" s="12"/>
      <c r="H369" s="12"/>
      <c r="I369" s="12"/>
      <c r="J369" s="2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row>
    <row r="370" spans="1:59">
      <c r="A370" s="10"/>
      <c r="B370" s="11"/>
      <c r="C370" s="12"/>
      <c r="D370" s="12"/>
      <c r="E370" s="13"/>
      <c r="F370" s="14"/>
      <c r="G370" s="12"/>
      <c r="H370" s="12"/>
      <c r="I370" s="12"/>
      <c r="J370" s="2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row>
    <row r="371" spans="1:59">
      <c r="A371" s="10"/>
      <c r="B371" s="11"/>
      <c r="C371" s="12"/>
      <c r="D371" s="12"/>
      <c r="E371" s="13"/>
      <c r="F371" s="14"/>
      <c r="G371" s="12"/>
      <c r="H371" s="12"/>
      <c r="I371" s="12"/>
      <c r="J371" s="2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9"/>
      <c r="BC371" s="9"/>
      <c r="BD371" s="9"/>
      <c r="BE371" s="9"/>
      <c r="BF371" s="9"/>
      <c r="BG371" s="9"/>
    </row>
    <row r="372" spans="1:59">
      <c r="A372" s="10"/>
      <c r="B372" s="11"/>
      <c r="C372" s="12"/>
      <c r="D372" s="12"/>
      <c r="E372" s="13"/>
      <c r="F372" s="14"/>
      <c r="G372" s="12"/>
      <c r="H372" s="12"/>
      <c r="I372" s="12"/>
      <c r="J372" s="2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row>
    <row r="373" spans="1:59">
      <c r="A373" s="10"/>
      <c r="B373" s="11"/>
      <c r="C373" s="12"/>
      <c r="D373" s="12"/>
      <c r="E373" s="13"/>
      <c r="F373" s="14"/>
      <c r="G373" s="12"/>
      <c r="H373" s="12"/>
      <c r="I373" s="12"/>
      <c r="J373" s="2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row>
    <row r="374" spans="1:59">
      <c r="A374" s="10"/>
      <c r="B374" s="11"/>
      <c r="C374" s="12"/>
      <c r="D374" s="12"/>
      <c r="E374" s="13"/>
      <c r="F374" s="14"/>
      <c r="G374" s="12"/>
      <c r="H374" s="12"/>
      <c r="I374" s="12"/>
      <c r="J374" s="2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row>
    <row r="375" spans="1:59">
      <c r="A375" s="10"/>
      <c r="B375" s="11"/>
      <c r="C375" s="12"/>
      <c r="D375" s="12"/>
      <c r="E375" s="13"/>
      <c r="F375" s="14"/>
      <c r="G375" s="12"/>
      <c r="H375" s="12"/>
      <c r="I375" s="12"/>
      <c r="J375" s="2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row>
    <row r="376" spans="1:59">
      <c r="A376" s="10"/>
      <c r="B376" s="11"/>
      <c r="C376" s="12"/>
      <c r="D376" s="12"/>
      <c r="E376" s="13"/>
      <c r="F376" s="14"/>
      <c r="G376" s="12"/>
      <c r="H376" s="12"/>
      <c r="I376" s="12"/>
      <c r="J376" s="2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row>
    <row r="377" spans="1:59">
      <c r="A377" s="10"/>
      <c r="B377" s="11"/>
      <c r="C377" s="12"/>
      <c r="D377" s="12"/>
      <c r="E377" s="13"/>
      <c r="F377" s="14"/>
      <c r="G377" s="12"/>
      <c r="H377" s="12"/>
      <c r="I377" s="12"/>
      <c r="J377" s="2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row>
    <row r="378" spans="1:59">
      <c r="A378" s="10"/>
      <c r="B378" s="11"/>
      <c r="C378" s="12"/>
      <c r="D378" s="12"/>
      <c r="E378" s="13"/>
      <c r="F378" s="14"/>
      <c r="G378" s="12"/>
      <c r="H378" s="12"/>
      <c r="I378" s="12"/>
      <c r="J378" s="2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row>
    <row r="379" spans="1:59">
      <c r="A379" s="10"/>
      <c r="B379" s="11"/>
      <c r="C379" s="12"/>
      <c r="D379" s="12"/>
      <c r="E379" s="13"/>
      <c r="F379" s="14"/>
      <c r="G379" s="12"/>
      <c r="H379" s="12"/>
      <c r="I379" s="12"/>
      <c r="J379" s="2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row>
    <row r="380" spans="1:59">
      <c r="A380" s="10"/>
      <c r="B380" s="11"/>
      <c r="C380" s="12"/>
      <c r="D380" s="12"/>
      <c r="E380" s="13"/>
      <c r="F380" s="14"/>
      <c r="G380" s="12"/>
      <c r="H380" s="12"/>
      <c r="I380" s="12"/>
      <c r="J380" s="2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row>
    <row r="381" spans="1:59">
      <c r="A381" s="10"/>
      <c r="B381" s="11"/>
      <c r="C381" s="12"/>
      <c r="D381" s="12"/>
      <c r="E381" s="13"/>
      <c r="F381" s="14"/>
      <c r="G381" s="12"/>
      <c r="H381" s="12"/>
      <c r="I381" s="12"/>
      <c r="J381" s="2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row>
    <row r="382" spans="1:59">
      <c r="A382" s="10"/>
      <c r="B382" s="11"/>
      <c r="C382" s="12"/>
      <c r="D382" s="12"/>
      <c r="E382" s="13"/>
      <c r="F382" s="14"/>
      <c r="G382" s="12"/>
      <c r="H382" s="12"/>
      <c r="I382" s="12"/>
      <c r="J382" s="2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row>
    <row r="383" spans="1:59">
      <c r="A383" s="10"/>
      <c r="B383" s="11"/>
      <c r="C383" s="12"/>
      <c r="D383" s="12"/>
      <c r="E383" s="13"/>
      <c r="F383" s="14"/>
      <c r="G383" s="12"/>
      <c r="H383" s="12"/>
      <c r="I383" s="12"/>
      <c r="J383" s="2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row>
    <row r="384" spans="1:59">
      <c r="A384" s="10"/>
      <c r="B384" s="11"/>
      <c r="C384" s="12"/>
      <c r="D384" s="12"/>
      <c r="E384" s="13"/>
      <c r="F384" s="14"/>
      <c r="G384" s="12"/>
      <c r="H384" s="12"/>
      <c r="I384" s="12"/>
      <c r="J384" s="2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row>
    <row r="385" spans="1:59">
      <c r="A385" s="10"/>
      <c r="B385" s="11"/>
      <c r="C385" s="12"/>
      <c r="D385" s="12"/>
      <c r="E385" s="13"/>
      <c r="F385" s="14"/>
      <c r="G385" s="12"/>
      <c r="H385" s="12"/>
      <c r="I385" s="12"/>
      <c r="J385" s="2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9"/>
      <c r="BC385" s="9"/>
      <c r="BD385" s="9"/>
      <c r="BE385" s="9"/>
      <c r="BF385" s="9"/>
      <c r="BG385" s="9"/>
    </row>
    <row r="386" spans="1:59">
      <c r="A386" s="10"/>
      <c r="B386" s="11"/>
      <c r="C386" s="12"/>
      <c r="D386" s="12"/>
      <c r="E386" s="13"/>
      <c r="F386" s="14"/>
      <c r="G386" s="12"/>
      <c r="H386" s="12"/>
      <c r="I386" s="12"/>
      <c r="J386" s="2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9"/>
      <c r="BC386" s="9"/>
      <c r="BD386" s="9"/>
      <c r="BE386" s="9"/>
      <c r="BF386" s="9"/>
      <c r="BG386" s="9"/>
    </row>
    <row r="387" spans="1:59">
      <c r="A387" s="10"/>
      <c r="B387" s="11"/>
      <c r="C387" s="12"/>
      <c r="D387" s="12"/>
      <c r="E387" s="13"/>
      <c r="F387" s="14"/>
      <c r="G387" s="12"/>
      <c r="H387" s="12"/>
      <c r="I387" s="12"/>
      <c r="J387" s="2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c r="BB387" s="9"/>
      <c r="BC387" s="9"/>
      <c r="BD387" s="9"/>
      <c r="BE387" s="9"/>
      <c r="BF387" s="9"/>
      <c r="BG387" s="9"/>
    </row>
    <row r="388" spans="1:59">
      <c r="A388" s="10"/>
      <c r="B388" s="11"/>
      <c r="C388" s="12"/>
      <c r="D388" s="12"/>
      <c r="E388" s="13"/>
      <c r="F388" s="14"/>
      <c r="G388" s="12"/>
      <c r="H388" s="12"/>
      <c r="I388" s="12"/>
      <c r="J388" s="2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9"/>
      <c r="BC388" s="9"/>
      <c r="BD388" s="9"/>
      <c r="BE388" s="9"/>
      <c r="BF388" s="9"/>
      <c r="BG388" s="9"/>
    </row>
    <row r="389" spans="1:59">
      <c r="A389" s="10"/>
      <c r="B389" s="11"/>
      <c r="C389" s="12"/>
      <c r="D389" s="12"/>
      <c r="E389" s="13"/>
      <c r="F389" s="14"/>
      <c r="G389" s="12"/>
      <c r="H389" s="12"/>
      <c r="I389" s="12"/>
      <c r="J389" s="2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c r="BB389" s="9"/>
      <c r="BC389" s="9"/>
      <c r="BD389" s="9"/>
      <c r="BE389" s="9"/>
      <c r="BF389" s="9"/>
      <c r="BG389" s="9"/>
    </row>
    <row r="390" spans="1:59">
      <c r="A390" s="10"/>
      <c r="B390" s="11"/>
      <c r="C390" s="12"/>
      <c r="D390" s="12"/>
      <c r="E390" s="13"/>
      <c r="F390" s="14"/>
      <c r="G390" s="12"/>
      <c r="H390" s="12"/>
      <c r="I390" s="12"/>
      <c r="J390" s="2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c r="BB390" s="9"/>
      <c r="BC390" s="9"/>
      <c r="BD390" s="9"/>
      <c r="BE390" s="9"/>
      <c r="BF390" s="9"/>
      <c r="BG390" s="9"/>
    </row>
    <row r="391" spans="1:59">
      <c r="A391" s="10"/>
      <c r="B391" s="11"/>
      <c r="C391" s="12"/>
      <c r="D391" s="12"/>
      <c r="E391" s="13"/>
      <c r="F391" s="14"/>
      <c r="G391" s="12"/>
      <c r="H391" s="12"/>
      <c r="I391" s="12"/>
      <c r="J391" s="2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row>
    <row r="392" spans="1:59">
      <c r="A392" s="10"/>
      <c r="B392" s="11"/>
      <c r="C392" s="12"/>
      <c r="D392" s="12"/>
      <c r="E392" s="13"/>
      <c r="F392" s="14"/>
      <c r="G392" s="12"/>
      <c r="H392" s="12"/>
      <c r="I392" s="12"/>
      <c r="J392" s="2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row>
    <row r="393" spans="1:59">
      <c r="A393" s="10"/>
      <c r="B393" s="11"/>
      <c r="C393" s="12"/>
      <c r="D393" s="12"/>
      <c r="E393" s="13"/>
      <c r="F393" s="14"/>
      <c r="G393" s="12"/>
      <c r="H393" s="12"/>
      <c r="I393" s="12"/>
      <c r="J393" s="2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c r="BB393" s="9"/>
      <c r="BC393" s="9"/>
      <c r="BD393" s="9"/>
      <c r="BE393" s="9"/>
      <c r="BF393" s="9"/>
      <c r="BG393" s="9"/>
    </row>
    <row r="394" spans="1:59">
      <c r="A394" s="10"/>
      <c r="B394" s="11"/>
      <c r="C394" s="12"/>
      <c r="D394" s="12"/>
      <c r="E394" s="13"/>
      <c r="F394" s="14"/>
      <c r="G394" s="12"/>
      <c r="H394" s="12"/>
      <c r="I394" s="12"/>
      <c r="J394" s="2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c r="BB394" s="9"/>
      <c r="BC394" s="9"/>
      <c r="BD394" s="9"/>
      <c r="BE394" s="9"/>
      <c r="BF394" s="9"/>
      <c r="BG394" s="9"/>
    </row>
    <row r="395" spans="1:59">
      <c r="A395" s="10"/>
      <c r="B395" s="11"/>
      <c r="C395" s="12"/>
      <c r="D395" s="12"/>
      <c r="E395" s="13"/>
      <c r="F395" s="14"/>
      <c r="G395" s="12"/>
      <c r="H395" s="12"/>
      <c r="I395" s="12"/>
      <c r="J395" s="2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c r="BB395" s="9"/>
      <c r="BC395" s="9"/>
      <c r="BD395" s="9"/>
      <c r="BE395" s="9"/>
      <c r="BF395" s="9"/>
      <c r="BG395" s="9"/>
    </row>
    <row r="396" spans="1:59">
      <c r="A396" s="10"/>
      <c r="B396" s="11"/>
      <c r="C396" s="12"/>
      <c r="D396" s="12"/>
      <c r="E396" s="13"/>
      <c r="F396" s="14"/>
      <c r="G396" s="12"/>
      <c r="H396" s="12"/>
      <c r="I396" s="12"/>
      <c r="J396" s="2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row>
    <row r="397" spans="1:59">
      <c r="A397" s="10"/>
      <c r="B397" s="11"/>
      <c r="C397" s="12"/>
      <c r="D397" s="12"/>
      <c r="E397" s="13"/>
      <c r="F397" s="14"/>
      <c r="G397" s="12"/>
      <c r="H397" s="12"/>
      <c r="I397" s="12"/>
      <c r="J397" s="2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c r="BB397" s="9"/>
      <c r="BC397" s="9"/>
      <c r="BD397" s="9"/>
      <c r="BE397" s="9"/>
      <c r="BF397" s="9"/>
      <c r="BG397" s="9"/>
    </row>
    <row r="398" spans="1:59">
      <c r="A398" s="10"/>
      <c r="B398" s="11"/>
      <c r="C398" s="12"/>
      <c r="D398" s="12"/>
      <c r="E398" s="13"/>
      <c r="F398" s="14"/>
      <c r="G398" s="12"/>
      <c r="H398" s="12"/>
      <c r="I398" s="12"/>
      <c r="J398" s="2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c r="BB398" s="9"/>
      <c r="BC398" s="9"/>
      <c r="BD398" s="9"/>
      <c r="BE398" s="9"/>
      <c r="BF398" s="9"/>
      <c r="BG398" s="9"/>
    </row>
    <row r="399" spans="1:59">
      <c r="A399" s="10"/>
      <c r="B399" s="11"/>
      <c r="C399" s="12"/>
      <c r="D399" s="12"/>
      <c r="E399" s="13"/>
      <c r="F399" s="14"/>
      <c r="G399" s="12"/>
      <c r="H399" s="12"/>
      <c r="I399" s="12"/>
      <c r="J399" s="2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9"/>
      <c r="BC399" s="9"/>
      <c r="BD399" s="9"/>
      <c r="BE399" s="9"/>
      <c r="BF399" s="9"/>
      <c r="BG399" s="9"/>
    </row>
    <row r="400" spans="1:59">
      <c r="A400" s="10"/>
      <c r="B400" s="11"/>
      <c r="C400" s="12"/>
      <c r="D400" s="12"/>
      <c r="E400" s="13"/>
      <c r="F400" s="14"/>
      <c r="G400" s="12"/>
      <c r="H400" s="12"/>
      <c r="I400" s="12"/>
      <c r="J400" s="2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c r="BB400" s="9"/>
      <c r="BC400" s="9"/>
      <c r="BD400" s="9"/>
      <c r="BE400" s="9"/>
      <c r="BF400" s="9"/>
      <c r="BG400" s="9"/>
    </row>
    <row r="401" spans="1:59">
      <c r="A401" s="10"/>
      <c r="B401" s="11"/>
      <c r="C401" s="12"/>
      <c r="D401" s="12"/>
      <c r="E401" s="13"/>
      <c r="F401" s="14"/>
      <c r="G401" s="12"/>
      <c r="H401" s="12"/>
      <c r="I401" s="12"/>
      <c r="J401" s="2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c r="BB401" s="9"/>
      <c r="BC401" s="9"/>
      <c r="BD401" s="9"/>
      <c r="BE401" s="9"/>
      <c r="BF401" s="9"/>
      <c r="BG401" s="9"/>
    </row>
    <row r="402" spans="1:59">
      <c r="A402" s="10"/>
      <c r="B402" s="11"/>
      <c r="C402" s="12"/>
      <c r="D402" s="12"/>
      <c r="E402" s="13"/>
      <c r="F402" s="14"/>
      <c r="G402" s="12"/>
      <c r="H402" s="12"/>
      <c r="I402" s="12"/>
      <c r="J402" s="2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row>
    <row r="403" spans="1:59">
      <c r="A403" s="10"/>
      <c r="B403" s="11"/>
      <c r="C403" s="12"/>
      <c r="D403" s="12"/>
      <c r="E403" s="13"/>
      <c r="F403" s="14"/>
      <c r="G403" s="12"/>
      <c r="H403" s="12"/>
      <c r="I403" s="12"/>
      <c r="J403" s="2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c r="BB403" s="9"/>
      <c r="BC403" s="9"/>
      <c r="BD403" s="9"/>
      <c r="BE403" s="9"/>
      <c r="BF403" s="9"/>
      <c r="BG403" s="9"/>
    </row>
    <row r="404" spans="1:59">
      <c r="A404" s="10"/>
      <c r="B404" s="11"/>
      <c r="C404" s="12"/>
      <c r="D404" s="12"/>
      <c r="E404" s="13"/>
      <c r="F404" s="14"/>
      <c r="G404" s="12"/>
      <c r="H404" s="12"/>
      <c r="I404" s="12"/>
      <c r="J404" s="2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9"/>
      <c r="BC404" s="9"/>
      <c r="BD404" s="9"/>
      <c r="BE404" s="9"/>
      <c r="BF404" s="9"/>
      <c r="BG404" s="9"/>
    </row>
    <row r="405" spans="1:59">
      <c r="A405" s="10"/>
      <c r="B405" s="11"/>
      <c r="C405" s="12"/>
      <c r="D405" s="12"/>
      <c r="E405" s="13"/>
      <c r="F405" s="14"/>
      <c r="G405" s="12"/>
      <c r="H405" s="12"/>
      <c r="I405" s="12"/>
      <c r="J405" s="2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c r="BB405" s="9"/>
      <c r="BC405" s="9"/>
      <c r="BD405" s="9"/>
      <c r="BE405" s="9"/>
      <c r="BF405" s="9"/>
      <c r="BG405" s="9"/>
    </row>
    <row r="406" spans="1:59">
      <c r="A406" s="10"/>
      <c r="B406" s="11"/>
      <c r="C406" s="12"/>
      <c r="D406" s="12"/>
      <c r="E406" s="13"/>
      <c r="F406" s="14"/>
      <c r="G406" s="12"/>
      <c r="H406" s="12"/>
      <c r="I406" s="12"/>
      <c r="J406" s="2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c r="BB406" s="9"/>
      <c r="BC406" s="9"/>
      <c r="BD406" s="9"/>
      <c r="BE406" s="9"/>
      <c r="BF406" s="9"/>
      <c r="BG406" s="9"/>
    </row>
    <row r="407" spans="1:59">
      <c r="A407" s="10"/>
      <c r="B407" s="11"/>
      <c r="C407" s="12"/>
      <c r="D407" s="12"/>
      <c r="E407" s="13"/>
      <c r="F407" s="14"/>
      <c r="G407" s="12"/>
      <c r="H407" s="12"/>
      <c r="I407" s="12"/>
      <c r="J407" s="2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c r="BB407" s="9"/>
      <c r="BC407" s="9"/>
      <c r="BD407" s="9"/>
      <c r="BE407" s="9"/>
      <c r="BF407" s="9"/>
      <c r="BG407" s="9"/>
    </row>
    <row r="408" spans="1:59">
      <c r="A408" s="10"/>
      <c r="B408" s="11"/>
      <c r="C408" s="12"/>
      <c r="D408" s="12"/>
      <c r="E408" s="13"/>
      <c r="F408" s="14"/>
      <c r="G408" s="12"/>
      <c r="H408" s="12"/>
      <c r="I408" s="12"/>
      <c r="J408" s="2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9"/>
      <c r="BC408" s="9"/>
      <c r="BD408" s="9"/>
      <c r="BE408" s="9"/>
      <c r="BF408" s="9"/>
      <c r="BG408" s="9"/>
    </row>
    <row r="409" spans="1:59">
      <c r="A409" s="10"/>
      <c r="B409" s="11"/>
      <c r="C409" s="12"/>
      <c r="D409" s="12"/>
      <c r="E409" s="13"/>
      <c r="F409" s="14"/>
      <c r="G409" s="12"/>
      <c r="H409" s="12"/>
      <c r="I409" s="12"/>
      <c r="J409" s="2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row>
    <row r="410" spans="1:59">
      <c r="A410" s="10"/>
      <c r="B410" s="11"/>
      <c r="C410" s="12"/>
      <c r="D410" s="12"/>
      <c r="E410" s="13"/>
      <c r="F410" s="14"/>
      <c r="G410" s="12"/>
      <c r="H410" s="12"/>
      <c r="I410" s="12"/>
      <c r="J410" s="2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row>
    <row r="411" spans="1:59">
      <c r="A411" s="10"/>
      <c r="B411" s="11"/>
      <c r="C411" s="12"/>
      <c r="D411" s="12"/>
      <c r="E411" s="13"/>
      <c r="F411" s="14"/>
      <c r="G411" s="12"/>
      <c r="H411" s="12"/>
      <c r="I411" s="12"/>
      <c r="J411" s="2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row>
    <row r="412" spans="1:59">
      <c r="A412" s="10"/>
      <c r="B412" s="11"/>
      <c r="C412" s="12"/>
      <c r="D412" s="12"/>
      <c r="E412" s="13"/>
      <c r="F412" s="14"/>
      <c r="G412" s="12"/>
      <c r="H412" s="12"/>
      <c r="I412" s="12"/>
      <c r="J412" s="2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row>
    <row r="413" spans="1:59">
      <c r="A413" s="10"/>
      <c r="B413" s="11"/>
      <c r="C413" s="12"/>
      <c r="D413" s="12"/>
      <c r="E413" s="13"/>
      <c r="F413" s="14"/>
      <c r="G413" s="12"/>
      <c r="H413" s="12"/>
      <c r="I413" s="12"/>
      <c r="J413" s="2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row>
    <row r="414" spans="1:59">
      <c r="A414" s="10"/>
      <c r="B414" s="11"/>
      <c r="C414" s="12"/>
      <c r="D414" s="12"/>
      <c r="E414" s="13"/>
      <c r="F414" s="14"/>
      <c r="G414" s="12"/>
      <c r="H414" s="12"/>
      <c r="I414" s="12"/>
      <c r="J414" s="2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row>
    <row r="415" spans="1:59">
      <c r="A415" s="10"/>
      <c r="B415" s="11"/>
      <c r="C415" s="12"/>
      <c r="D415" s="12"/>
      <c r="E415" s="13"/>
      <c r="F415" s="14"/>
      <c r="G415" s="12"/>
      <c r="H415" s="12"/>
      <c r="I415" s="12"/>
      <c r="J415" s="2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row>
    <row r="416" spans="1:59">
      <c r="A416" s="10"/>
      <c r="B416" s="11"/>
      <c r="C416" s="12"/>
      <c r="D416" s="12"/>
      <c r="E416" s="13"/>
      <c r="F416" s="14"/>
      <c r="G416" s="12"/>
      <c r="H416" s="12"/>
      <c r="I416" s="12"/>
      <c r="J416" s="2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row>
    <row r="417" spans="1:59">
      <c r="A417" s="10"/>
      <c r="B417" s="11"/>
      <c r="C417" s="12"/>
      <c r="D417" s="12"/>
      <c r="E417" s="13"/>
      <c r="F417" s="14"/>
      <c r="G417" s="12"/>
      <c r="H417" s="12"/>
      <c r="I417" s="12"/>
      <c r="J417" s="2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row>
    <row r="418" spans="1:59">
      <c r="A418" s="10"/>
      <c r="B418" s="11"/>
      <c r="C418" s="12"/>
      <c r="D418" s="12"/>
      <c r="E418" s="13"/>
      <c r="F418" s="14"/>
      <c r="G418" s="12"/>
      <c r="H418" s="12"/>
      <c r="I418" s="12"/>
      <c r="J418" s="2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row>
    <row r="419" spans="1:59">
      <c r="A419" s="10"/>
      <c r="B419" s="11"/>
      <c r="C419" s="12"/>
      <c r="D419" s="12"/>
      <c r="E419" s="13"/>
      <c r="F419" s="14"/>
      <c r="G419" s="12"/>
      <c r="H419" s="12"/>
      <c r="I419" s="12"/>
      <c r="J419" s="2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c r="BB419" s="9"/>
      <c r="BC419" s="9"/>
      <c r="BD419" s="9"/>
      <c r="BE419" s="9"/>
      <c r="BF419" s="9"/>
      <c r="BG419" s="9"/>
    </row>
    <row r="420" spans="1:59">
      <c r="A420" s="10"/>
      <c r="B420" s="11"/>
      <c r="C420" s="12"/>
      <c r="D420" s="12"/>
      <c r="E420" s="13"/>
      <c r="F420" s="14"/>
      <c r="G420" s="12"/>
      <c r="H420" s="12"/>
      <c r="I420" s="12"/>
      <c r="J420" s="2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c r="BB420" s="9"/>
      <c r="BC420" s="9"/>
      <c r="BD420" s="9"/>
      <c r="BE420" s="9"/>
      <c r="BF420" s="9"/>
      <c r="BG420" s="9"/>
    </row>
    <row r="421" spans="1:59">
      <c r="A421" s="10"/>
      <c r="B421" s="11"/>
      <c r="C421" s="12"/>
      <c r="D421" s="12"/>
      <c r="E421" s="13"/>
      <c r="F421" s="14"/>
      <c r="G421" s="12"/>
      <c r="H421" s="12"/>
      <c r="I421" s="12"/>
      <c r="J421" s="2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c r="BB421" s="9"/>
      <c r="BC421" s="9"/>
      <c r="BD421" s="9"/>
      <c r="BE421" s="9"/>
      <c r="BF421" s="9"/>
      <c r="BG421" s="9"/>
    </row>
    <row r="422" spans="1:59">
      <c r="A422" s="10"/>
      <c r="B422" s="11"/>
      <c r="C422" s="12"/>
      <c r="D422" s="12"/>
      <c r="E422" s="13"/>
      <c r="F422" s="14"/>
      <c r="G422" s="12"/>
      <c r="H422" s="12"/>
      <c r="I422" s="12"/>
      <c r="J422" s="2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row>
    <row r="423" spans="1:59">
      <c r="A423" s="10"/>
      <c r="B423" s="11"/>
      <c r="C423" s="12"/>
      <c r="D423" s="12"/>
      <c r="E423" s="13"/>
      <c r="F423" s="14"/>
      <c r="G423" s="12"/>
      <c r="H423" s="12"/>
      <c r="I423" s="12"/>
      <c r="J423" s="2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row>
    <row r="424" spans="1:59">
      <c r="A424" s="10"/>
      <c r="B424" s="11"/>
      <c r="C424" s="12"/>
      <c r="D424" s="12"/>
      <c r="E424" s="13"/>
      <c r="F424" s="14"/>
      <c r="G424" s="12"/>
      <c r="H424" s="12"/>
      <c r="I424" s="12"/>
      <c r="J424" s="2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row>
    <row r="425" spans="1:59">
      <c r="A425" s="10"/>
      <c r="B425" s="11"/>
      <c r="C425" s="12"/>
      <c r="D425" s="12"/>
      <c r="E425" s="13"/>
      <c r="F425" s="14"/>
      <c r="G425" s="12"/>
      <c r="H425" s="12"/>
      <c r="I425" s="12"/>
      <c r="J425" s="2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9"/>
      <c r="BC425" s="9"/>
      <c r="BD425" s="9"/>
      <c r="BE425" s="9"/>
      <c r="BF425" s="9"/>
      <c r="BG425" s="9"/>
    </row>
    <row r="426" spans="1:59">
      <c r="A426" s="10"/>
      <c r="B426" s="11"/>
      <c r="C426" s="12"/>
      <c r="D426" s="12"/>
      <c r="E426" s="13"/>
      <c r="F426" s="14"/>
      <c r="G426" s="12"/>
      <c r="H426" s="12"/>
      <c r="I426" s="12"/>
      <c r="J426" s="2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c r="BB426" s="9"/>
      <c r="BC426" s="9"/>
      <c r="BD426" s="9"/>
      <c r="BE426" s="9"/>
      <c r="BF426" s="9"/>
      <c r="BG426" s="9"/>
    </row>
    <row r="427" spans="1:59">
      <c r="A427" s="10"/>
      <c r="B427" s="11"/>
      <c r="C427" s="12"/>
      <c r="D427" s="12"/>
      <c r="E427" s="13"/>
      <c r="F427" s="14"/>
      <c r="G427" s="12"/>
      <c r="H427" s="12"/>
      <c r="I427" s="12"/>
      <c r="J427" s="2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c r="BB427" s="9"/>
      <c r="BC427" s="9"/>
      <c r="BD427" s="9"/>
      <c r="BE427" s="9"/>
      <c r="BF427" s="9"/>
      <c r="BG427" s="9"/>
    </row>
    <row r="428" spans="1:59">
      <c r="A428" s="10"/>
      <c r="B428" s="11"/>
      <c r="C428" s="12"/>
      <c r="D428" s="12"/>
      <c r="E428" s="13"/>
      <c r="F428" s="14"/>
      <c r="G428" s="12"/>
      <c r="H428" s="12"/>
      <c r="I428" s="12"/>
      <c r="J428" s="2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c r="BB428" s="9"/>
      <c r="BC428" s="9"/>
      <c r="BD428" s="9"/>
      <c r="BE428" s="9"/>
      <c r="BF428" s="9"/>
      <c r="BG428" s="9"/>
    </row>
    <row r="429" spans="1:59">
      <c r="A429" s="10"/>
      <c r="B429" s="11"/>
      <c r="C429" s="12"/>
      <c r="D429" s="12"/>
      <c r="E429" s="13"/>
      <c r="F429" s="14"/>
      <c r="G429" s="12"/>
      <c r="H429" s="12"/>
      <c r="I429" s="12"/>
      <c r="J429" s="2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c r="BB429" s="9"/>
      <c r="BC429" s="9"/>
      <c r="BD429" s="9"/>
      <c r="BE429" s="9"/>
      <c r="BF429" s="9"/>
      <c r="BG429" s="9"/>
    </row>
    <row r="430" spans="1:59">
      <c r="A430" s="10"/>
      <c r="B430" s="11"/>
      <c r="C430" s="12"/>
      <c r="D430" s="12"/>
      <c r="E430" s="13"/>
      <c r="F430" s="14"/>
      <c r="G430" s="12"/>
      <c r="H430" s="12"/>
      <c r="I430" s="12"/>
      <c r="J430" s="2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c r="BB430" s="9"/>
      <c r="BC430" s="9"/>
      <c r="BD430" s="9"/>
      <c r="BE430" s="9"/>
      <c r="BF430" s="9"/>
      <c r="BG430" s="9"/>
    </row>
    <row r="431" spans="1:59">
      <c r="A431" s="10"/>
      <c r="B431" s="11"/>
      <c r="C431" s="12"/>
      <c r="D431" s="12"/>
      <c r="E431" s="13"/>
      <c r="F431" s="14"/>
      <c r="G431" s="12"/>
      <c r="H431" s="12"/>
      <c r="I431" s="12"/>
      <c r="J431" s="2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row>
    <row r="432" spans="1:59">
      <c r="A432" s="10"/>
      <c r="B432" s="11"/>
      <c r="C432" s="12"/>
      <c r="D432" s="12"/>
      <c r="E432" s="13"/>
      <c r="F432" s="14"/>
      <c r="G432" s="12"/>
      <c r="H432" s="12"/>
      <c r="I432" s="12"/>
      <c r="J432" s="2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row>
    <row r="433" spans="1:59">
      <c r="A433" s="10"/>
      <c r="B433" s="11"/>
      <c r="C433" s="12"/>
      <c r="D433" s="12"/>
      <c r="E433" s="13"/>
      <c r="F433" s="14"/>
      <c r="G433" s="12"/>
      <c r="H433" s="12"/>
      <c r="I433" s="12"/>
      <c r="J433" s="2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c r="BB433" s="9"/>
      <c r="BC433" s="9"/>
      <c r="BD433" s="9"/>
      <c r="BE433" s="9"/>
      <c r="BF433" s="9"/>
      <c r="BG433" s="9"/>
    </row>
    <row r="434" spans="1:59">
      <c r="A434" s="10"/>
      <c r="B434" s="11"/>
      <c r="C434" s="12"/>
      <c r="D434" s="12"/>
      <c r="E434" s="13"/>
      <c r="F434" s="14"/>
      <c r="G434" s="12"/>
      <c r="H434" s="12"/>
      <c r="I434" s="12"/>
      <c r="J434" s="2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9"/>
      <c r="BC434" s="9"/>
      <c r="BD434" s="9"/>
      <c r="BE434" s="9"/>
      <c r="BF434" s="9"/>
      <c r="BG434" s="9"/>
    </row>
    <row r="435" spans="1:59">
      <c r="A435" s="10"/>
      <c r="B435" s="11"/>
      <c r="C435" s="12"/>
      <c r="D435" s="12"/>
      <c r="E435" s="13"/>
      <c r="F435" s="14"/>
      <c r="G435" s="12"/>
      <c r="H435" s="12"/>
      <c r="I435" s="12"/>
      <c r="J435" s="2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row>
    <row r="436" spans="1:59">
      <c r="A436" s="10"/>
      <c r="B436" s="11"/>
      <c r="C436" s="12"/>
      <c r="D436" s="12"/>
      <c r="E436" s="13"/>
      <c r="F436" s="14"/>
      <c r="G436" s="12"/>
      <c r="H436" s="12"/>
      <c r="I436" s="12"/>
      <c r="J436" s="2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9"/>
      <c r="BA436" s="9"/>
      <c r="BB436" s="9"/>
      <c r="BC436" s="9"/>
      <c r="BD436" s="9"/>
      <c r="BE436" s="9"/>
      <c r="BF436" s="9"/>
      <c r="BG436" s="9"/>
    </row>
    <row r="437" spans="1:59">
      <c r="A437" s="10"/>
      <c r="B437" s="11"/>
      <c r="C437" s="12"/>
      <c r="D437" s="12"/>
      <c r="E437" s="13"/>
      <c r="F437" s="14"/>
      <c r="G437" s="12"/>
      <c r="H437" s="12"/>
      <c r="I437" s="12"/>
      <c r="J437" s="2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9"/>
      <c r="BA437" s="9"/>
      <c r="BB437" s="9"/>
      <c r="BC437" s="9"/>
      <c r="BD437" s="9"/>
      <c r="BE437" s="9"/>
      <c r="BF437" s="9"/>
      <c r="BG437" s="9"/>
    </row>
    <row r="438" spans="1:59">
      <c r="A438" s="10"/>
      <c r="B438" s="11"/>
      <c r="C438" s="12"/>
      <c r="D438" s="12"/>
      <c r="E438" s="13"/>
      <c r="F438" s="14"/>
      <c r="G438" s="12"/>
      <c r="H438" s="12"/>
      <c r="I438" s="12"/>
      <c r="J438" s="2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9"/>
      <c r="BA438" s="9"/>
      <c r="BB438" s="9"/>
      <c r="BC438" s="9"/>
      <c r="BD438" s="9"/>
      <c r="BE438" s="9"/>
      <c r="BF438" s="9"/>
      <c r="BG438" s="9"/>
    </row>
    <row r="439" spans="1:59">
      <c r="A439" s="10"/>
      <c r="B439" s="11"/>
      <c r="C439" s="12"/>
      <c r="D439" s="12"/>
      <c r="E439" s="13"/>
      <c r="F439" s="14"/>
      <c r="G439" s="12"/>
      <c r="H439" s="12"/>
      <c r="I439" s="12"/>
      <c r="J439" s="2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9"/>
      <c r="BA439" s="9"/>
      <c r="BB439" s="9"/>
      <c r="BC439" s="9"/>
      <c r="BD439" s="9"/>
      <c r="BE439" s="9"/>
      <c r="BF439" s="9"/>
      <c r="BG439" s="9"/>
    </row>
    <row r="440" spans="1:59">
      <c r="A440" s="10"/>
      <c r="B440" s="11"/>
      <c r="C440" s="12"/>
      <c r="D440" s="12"/>
      <c r="E440" s="13"/>
      <c r="F440" s="14"/>
      <c r="G440" s="12"/>
      <c r="H440" s="12"/>
      <c r="I440" s="12"/>
      <c r="J440" s="2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row>
    <row r="441" spans="1:59">
      <c r="A441" s="10"/>
      <c r="B441" s="11"/>
      <c r="C441" s="12"/>
      <c r="D441" s="12"/>
      <c r="E441" s="13"/>
      <c r="F441" s="14"/>
      <c r="G441" s="12"/>
      <c r="H441" s="12"/>
      <c r="I441" s="12"/>
      <c r="J441" s="2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row>
    <row r="442" spans="1:59">
      <c r="A442" s="10"/>
      <c r="B442" s="11"/>
      <c r="C442" s="12"/>
      <c r="D442" s="12"/>
      <c r="E442" s="13"/>
      <c r="F442" s="14"/>
      <c r="G442" s="12"/>
      <c r="H442" s="12"/>
      <c r="I442" s="12"/>
      <c r="J442" s="2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row>
    <row r="443" spans="1:59">
      <c r="A443" s="10"/>
      <c r="B443" s="11"/>
      <c r="C443" s="12"/>
      <c r="D443" s="12"/>
      <c r="E443" s="13"/>
      <c r="F443" s="14"/>
      <c r="G443" s="12"/>
      <c r="H443" s="12"/>
      <c r="I443" s="12"/>
      <c r="J443" s="2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row>
    <row r="444" spans="1:59">
      <c r="A444" s="10"/>
      <c r="B444" s="11"/>
      <c r="C444" s="12"/>
      <c r="D444" s="12"/>
      <c r="E444" s="13"/>
      <c r="F444" s="14"/>
      <c r="G444" s="12"/>
      <c r="H444" s="12"/>
      <c r="I444" s="12"/>
      <c r="J444" s="2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row>
    <row r="445" spans="1:59">
      <c r="A445" s="10"/>
      <c r="B445" s="11"/>
      <c r="C445" s="12"/>
      <c r="D445" s="12"/>
      <c r="E445" s="13"/>
      <c r="F445" s="14"/>
      <c r="G445" s="12"/>
      <c r="H445" s="12"/>
      <c r="I445" s="12"/>
      <c r="J445" s="2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row>
    <row r="446" spans="1:59">
      <c r="A446" s="10"/>
      <c r="B446" s="11"/>
      <c r="C446" s="12"/>
      <c r="D446" s="12"/>
      <c r="E446" s="13"/>
      <c r="F446" s="14"/>
      <c r="G446" s="12"/>
      <c r="H446" s="12"/>
      <c r="I446" s="12"/>
      <c r="J446" s="2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row>
    <row r="447" spans="1:59">
      <c r="A447" s="10"/>
      <c r="B447" s="11"/>
      <c r="C447" s="12"/>
      <c r="D447" s="12"/>
      <c r="E447" s="13"/>
      <c r="F447" s="14"/>
      <c r="G447" s="12"/>
      <c r="H447" s="12"/>
      <c r="I447" s="12"/>
      <c r="J447" s="2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row>
    <row r="448" spans="1:59">
      <c r="A448" s="10"/>
      <c r="B448" s="11"/>
      <c r="C448" s="12"/>
      <c r="D448" s="12"/>
      <c r="E448" s="13"/>
      <c r="F448" s="14"/>
      <c r="G448" s="12"/>
      <c r="H448" s="12"/>
      <c r="I448" s="12"/>
      <c r="J448" s="2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row>
    <row r="449" spans="1:59">
      <c r="A449" s="10"/>
      <c r="B449" s="11"/>
      <c r="C449" s="12"/>
      <c r="D449" s="12"/>
      <c r="E449" s="13"/>
      <c r="F449" s="14"/>
      <c r="G449" s="12"/>
      <c r="H449" s="12"/>
      <c r="I449" s="12"/>
      <c r="J449" s="2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row>
    <row r="450" spans="1:59">
      <c r="A450" s="10"/>
      <c r="B450" s="11"/>
      <c r="C450" s="12"/>
      <c r="D450" s="12"/>
      <c r="E450" s="13"/>
      <c r="F450" s="14"/>
      <c r="G450" s="12"/>
      <c r="H450" s="12"/>
      <c r="I450" s="12"/>
      <c r="J450" s="2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row>
    <row r="451" spans="1:59">
      <c r="A451" s="10"/>
      <c r="B451" s="11"/>
      <c r="C451" s="12"/>
      <c r="D451" s="12"/>
      <c r="E451" s="13"/>
      <c r="F451" s="14"/>
      <c r="G451" s="12"/>
      <c r="H451" s="12"/>
      <c r="I451" s="12"/>
      <c r="J451" s="2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row>
    <row r="452" spans="1:59">
      <c r="A452" s="10"/>
      <c r="B452" s="11"/>
      <c r="C452" s="12"/>
      <c r="D452" s="12"/>
      <c r="E452" s="13"/>
      <c r="F452" s="14"/>
      <c r="G452" s="12"/>
      <c r="H452" s="12"/>
      <c r="I452" s="12"/>
      <c r="J452" s="2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row>
    <row r="453" spans="1:59">
      <c r="A453" s="10"/>
      <c r="B453" s="11"/>
      <c r="C453" s="12"/>
      <c r="D453" s="12"/>
      <c r="E453" s="13"/>
      <c r="F453" s="14"/>
      <c r="G453" s="12"/>
      <c r="H453" s="12"/>
      <c r="I453" s="12"/>
      <c r="J453" s="2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9"/>
      <c r="BA453" s="9"/>
      <c r="BB453" s="9"/>
      <c r="BC453" s="9"/>
      <c r="BD453" s="9"/>
      <c r="BE453" s="9"/>
      <c r="BF453" s="9"/>
      <c r="BG453" s="9"/>
    </row>
    <row r="454" spans="1:59">
      <c r="A454" s="10"/>
      <c r="B454" s="11"/>
      <c r="C454" s="12"/>
      <c r="D454" s="12"/>
      <c r="E454" s="13"/>
      <c r="F454" s="14"/>
      <c r="G454" s="12"/>
      <c r="H454" s="12"/>
      <c r="I454" s="12"/>
      <c r="J454" s="2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9"/>
      <c r="BA454" s="9"/>
      <c r="BB454" s="9"/>
      <c r="BC454" s="9"/>
      <c r="BD454" s="9"/>
      <c r="BE454" s="9"/>
      <c r="BF454" s="9"/>
      <c r="BG454" s="9"/>
    </row>
    <row r="455" spans="1:59">
      <c r="A455" s="10"/>
      <c r="B455" s="11"/>
      <c r="C455" s="12"/>
      <c r="D455" s="12"/>
      <c r="E455" s="13"/>
      <c r="F455" s="14"/>
      <c r="G455" s="12"/>
      <c r="H455" s="12"/>
      <c r="I455" s="12"/>
      <c r="J455" s="2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9"/>
      <c r="BA455" s="9"/>
      <c r="BB455" s="9"/>
      <c r="BC455" s="9"/>
      <c r="BD455" s="9"/>
      <c r="BE455" s="9"/>
      <c r="BF455" s="9"/>
      <c r="BG455" s="9"/>
    </row>
    <row r="456" spans="1:59">
      <c r="A456" s="10"/>
      <c r="B456" s="11"/>
      <c r="C456" s="12"/>
      <c r="D456" s="12"/>
      <c r="E456" s="13"/>
      <c r="F456" s="14"/>
      <c r="G456" s="12"/>
      <c r="H456" s="12"/>
      <c r="I456" s="12"/>
      <c r="J456" s="2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9"/>
      <c r="BA456" s="9"/>
      <c r="BB456" s="9"/>
      <c r="BC456" s="9"/>
      <c r="BD456" s="9"/>
      <c r="BE456" s="9"/>
      <c r="BF456" s="9"/>
      <c r="BG456" s="9"/>
    </row>
    <row r="457" spans="1:59">
      <c r="A457" s="10"/>
      <c r="B457" s="11"/>
      <c r="C457" s="12"/>
      <c r="D457" s="12"/>
      <c r="E457" s="13"/>
      <c r="F457" s="14"/>
      <c r="G457" s="12"/>
      <c r="H457" s="12"/>
      <c r="I457" s="12"/>
      <c r="J457" s="2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9"/>
      <c r="BA457" s="9"/>
      <c r="BB457" s="9"/>
      <c r="BC457" s="9"/>
      <c r="BD457" s="9"/>
      <c r="BE457" s="9"/>
      <c r="BF457" s="9"/>
      <c r="BG457" s="9"/>
    </row>
    <row r="458" spans="1:59">
      <c r="A458" s="10"/>
      <c r="B458" s="11"/>
      <c r="C458" s="12"/>
      <c r="D458" s="12"/>
      <c r="E458" s="13"/>
      <c r="F458" s="14"/>
      <c r="G458" s="12"/>
      <c r="H458" s="12"/>
      <c r="I458" s="12"/>
      <c r="J458" s="2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9"/>
      <c r="BA458" s="9"/>
      <c r="BB458" s="9"/>
      <c r="BC458" s="9"/>
      <c r="BD458" s="9"/>
      <c r="BE458" s="9"/>
      <c r="BF458" s="9"/>
      <c r="BG458" s="9"/>
    </row>
    <row r="459" spans="1:59">
      <c r="A459" s="10"/>
      <c r="B459" s="11"/>
      <c r="C459" s="12"/>
      <c r="D459" s="12"/>
      <c r="E459" s="13"/>
      <c r="F459" s="14"/>
      <c r="G459" s="12"/>
      <c r="H459" s="12"/>
      <c r="I459" s="12"/>
      <c r="J459" s="2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9"/>
      <c r="BA459" s="9"/>
      <c r="BB459" s="9"/>
      <c r="BC459" s="9"/>
      <c r="BD459" s="9"/>
      <c r="BE459" s="9"/>
      <c r="BF459" s="9"/>
      <c r="BG459" s="9"/>
    </row>
    <row r="460" spans="1:59">
      <c r="A460" s="10"/>
      <c r="B460" s="11"/>
      <c r="C460" s="12"/>
      <c r="D460" s="12"/>
      <c r="E460" s="13"/>
      <c r="F460" s="14"/>
      <c r="G460" s="12"/>
      <c r="H460" s="12"/>
      <c r="I460" s="12"/>
      <c r="J460" s="2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9"/>
      <c r="BA460" s="9"/>
      <c r="BB460" s="9"/>
      <c r="BC460" s="9"/>
      <c r="BD460" s="9"/>
      <c r="BE460" s="9"/>
      <c r="BF460" s="9"/>
      <c r="BG460" s="9"/>
    </row>
    <row r="461" spans="1:59">
      <c r="A461" s="10"/>
      <c r="B461" s="11"/>
      <c r="C461" s="12"/>
      <c r="D461" s="12"/>
      <c r="E461" s="13"/>
      <c r="F461" s="14"/>
      <c r="G461" s="12"/>
      <c r="H461" s="12"/>
      <c r="I461" s="12"/>
      <c r="J461" s="2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row>
    <row r="462" spans="1:59">
      <c r="A462" s="10"/>
      <c r="B462" s="11"/>
      <c r="C462" s="12"/>
      <c r="D462" s="12"/>
      <c r="E462" s="13"/>
      <c r="F462" s="14"/>
      <c r="G462" s="12"/>
      <c r="H462" s="12"/>
      <c r="I462" s="12"/>
      <c r="J462" s="2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row>
    <row r="463" spans="1:59">
      <c r="A463" s="10"/>
      <c r="B463" s="11"/>
      <c r="C463" s="12"/>
      <c r="D463" s="12"/>
      <c r="E463" s="13"/>
      <c r="F463" s="14"/>
      <c r="G463" s="12"/>
      <c r="H463" s="12"/>
      <c r="I463" s="12"/>
      <c r="J463" s="2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row>
  </sheetData>
  <customSheetViews>
    <customSheetView guid="{966D3932-E429-4C59-AC55-697D9EEA620A}" scale="65" showPageBreaks="1" fitToPage="1" printArea="1" showAutoFilter="1" view="pageBreakPreview">
      <pane xSplit="2" ySplit="7" topLeftCell="C292" activePane="bottomRight" state="frozen"/>
      <selection pane="bottomRight" activeCell="A301" sqref="A301:B301"/>
      <pageMargins left="0.19685039370078741" right="0.23622047244094491" top="0.19685039370078741" bottom="0.19685039370078741" header="0.15748031496062992" footer="0.15748031496062992"/>
      <pageSetup paperSize="9" scale="48" fitToHeight="12" orientation="landscape" verticalDpi="144" r:id="rId1"/>
      <headerFooter alignWithMargins="0"/>
      <autoFilter ref="A6:CQ369"/>
    </customSheetView>
    <customSheetView guid="{0CBA335B-0DD8-471B-913E-91954D8A7DE8}" scale="85" showPageBreaks="1" fitToPage="1" topLeftCell="A47">
      <selection activeCell="F56" sqref="F56"/>
      <pageMargins left="0.19685039370078741" right="0.23622047244094491" top="0.19685039370078741" bottom="0.19685039370078741" header="0.15748031496062992" footer="0.15748031496062992"/>
      <pageSetup paperSize="9" scale="13" fitToHeight="12" orientation="landscape" horizontalDpi="120" verticalDpi="144" r:id="rId2"/>
      <headerFooter alignWithMargins="0"/>
    </customSheetView>
    <customSheetView guid="{84AB9039-6109-4932-AA14-522BD4A30F0B}" scale="75" showPageBreaks="1" fitToPage="1">
      <pane xSplit="2" ySplit="9" topLeftCell="C286" activePane="bottomRight" state="frozen"/>
      <selection pane="bottomRight" activeCell="J274" sqref="J274:J276"/>
      <pageMargins left="0.19685039370078741" right="0.23622047244094491" top="0.19685039370078741" bottom="0.19685039370078741" header="0.15748031496062992" footer="0.15748031496062992"/>
      <pageSetup paperSize="9" scale="13" fitToHeight="12" orientation="landscape" horizontalDpi="120" verticalDpi="144" r:id="rId3"/>
      <headerFooter alignWithMargins="0"/>
    </customSheetView>
    <customSheetView guid="{675C859F-867B-4E3E-8283-3B2C94BFA5E5}" scale="80" showPageBreaks="1" fitToPage="1">
      <pane xSplit="2" ySplit="9" topLeftCell="C192" activePane="bottomRight" state="frozen"/>
      <selection pane="bottomRight" activeCell="B4" sqref="B4:B5"/>
      <pageMargins left="0.19685039370078741" right="0.23622047244094491" top="0.19685039370078741" bottom="0.19685039370078741" header="0.15748031496062992" footer="0.15748031496062992"/>
      <pageSetup paperSize="9" scale="13" fitToHeight="12" orientation="landscape" horizontalDpi="120" verticalDpi="144" r:id="rId4"/>
      <headerFooter alignWithMargins="0"/>
    </customSheetView>
    <customSheetView guid="{EF32CA8F-131B-41F0-AA31-167807ADE2D4}" scale="85" showPageBreaks="1" fitToPage="1">
      <pane xSplit="2" ySplit="9" topLeftCell="C175" activePane="bottomRight" state="frozen"/>
      <selection pane="bottomRight" activeCell="D183" sqref="D183"/>
      <pageMargins left="0.19685039370078741" right="0.23622047244094491" top="0.19685039370078741" bottom="0.19685039370078741" header="0.15748031496062992" footer="0.15748031496062992"/>
      <pageSetup paperSize="9" scale="13" fitToHeight="12" orientation="landscape" horizontalDpi="120" verticalDpi="144" r:id="rId5"/>
      <headerFooter alignWithMargins="0"/>
    </customSheetView>
    <customSheetView guid="{221AFC77-C97B-4D44-8163-7AA758A08BF9}" scale="71" showPageBreaks="1" fitToPage="1" printArea="1" showRuler="0">
      <pane ySplit="6" topLeftCell="A84" activePane="bottomLeft" state="frozen"/>
      <selection pane="bottomLeft" sqref="A1:XFD93"/>
      <pageMargins left="0.19685039370078741" right="0.23622047244094491" top="0.19685039370078741" bottom="0.19685039370078741" header="0.15748031496062992" footer="0.15748031496062992"/>
      <pageSetup paperSize="9" scale="48" fitToHeight="12" orientation="landscape" verticalDpi="144" r:id="rId6"/>
      <headerFooter alignWithMargins="0"/>
    </customSheetView>
    <customSheetView guid="{8DA01475-C6A0-4A19-B7EB-B1C704431492}" scale="70" showPageBreaks="1" fitToPage="1">
      <pane xSplit="2" ySplit="9" topLeftCell="C91" activePane="bottomRight" state="frozen"/>
      <selection pane="bottomRight" activeCell="A298" sqref="A298:J298"/>
      <pageMargins left="0.19685039370078741" right="0.23622047244094491" top="0.19685039370078741" bottom="0.19685039370078741" header="0.15748031496062992" footer="0.15748031496062992"/>
      <pageSetup paperSize="9" scale="28" fitToHeight="12" orientation="landscape" horizontalDpi="120" verticalDpi="144" r:id="rId7"/>
      <headerFooter alignWithMargins="0"/>
    </customSheetView>
    <customSheetView guid="{FA039D92-C83F-438E-BA9D-917452CA1B7F}" scale="85" showPageBreaks="1" fitToPage="1">
      <pane xSplit="2" ySplit="9" topLeftCell="C240" activePane="bottomRight"/>
      <selection pane="bottomRight" activeCell="E242" sqref="E242"/>
      <pageMargins left="0.19685039370078741" right="0.23622047244094491" top="0.19685039370078741" bottom="0.19685039370078741" header="0.15748031496062992" footer="0.15748031496062992"/>
      <pageSetup paperSize="9" scale="28" fitToHeight="12" orientation="landscape" horizontalDpi="120" verticalDpi="144" r:id="rId8"/>
      <headerFooter alignWithMargins="0"/>
    </customSheetView>
    <customSheetView guid="{9BFA17BE-4413-48EA-8DFA-9D7972E1D966}" scale="85" showPageBreaks="1">
      <pane xSplit="2" ySplit="9" topLeftCell="C274" activePane="bottomRight" state="frozen"/>
      <selection pane="bottomRight" activeCell="D281" sqref="D281"/>
      <pageMargins left="0.19685039370078741" right="0.23622047244094491" top="0.19685039370078741" bottom="0.19685039370078741" header="0.15748031496062992" footer="0.15748031496062992"/>
      <pageSetup paperSize="9" scale="55" fitToHeight="12" orientation="landscape" horizontalDpi="120" verticalDpi="144" r:id="rId9"/>
      <headerFooter alignWithMargins="0"/>
    </customSheetView>
    <customSheetView guid="{BC4BF63E-98F8-4CE0-B0DE-A2A71C291EFE}" scale="85" showPageBreaks="1">
      <pane xSplit="2" ySplit="9" topLeftCell="C146" activePane="bottomRight" state="frozen"/>
      <selection pane="bottomRight" activeCell="G3" sqref="G3:J3"/>
      <pageMargins left="0.19685039370078741" right="0.23622047244094491" top="0.19685039370078741" bottom="0.19685039370078741" header="0.15748031496062992" footer="0.15748031496062992"/>
      <pageSetup paperSize="9" scale="45" fitToHeight="12" orientation="landscape" horizontalDpi="120" verticalDpi="144" r:id="rId10"/>
      <headerFooter alignWithMargins="0"/>
    </customSheetView>
    <customSheetView guid="{CFB0A04F-563D-4D2B-BCD3-ACFCDC70E584}" scale="85" showPageBreaks="1" fitToPage="1" hiddenRows="1">
      <pane xSplit="2" ySplit="8" topLeftCell="C10" activePane="bottomRight" state="frozen"/>
      <selection pane="bottomRight" activeCell="G127" sqref="G127"/>
      <pageMargins left="0.19685039370078741" right="0.23622047244094491" top="0.19685039370078741" bottom="0.19685039370078741" header="0.15748031496062992" footer="0.15748031496062992"/>
      <pageSetup paperSize="9" scale="34" fitToHeight="12" orientation="landscape" horizontalDpi="120" verticalDpi="144" r:id="rId11"/>
      <headerFooter alignWithMargins="0"/>
    </customSheetView>
    <customSheetView guid="{BE1C4A44-01B5-4ECE-8D55-C71095D37032}" scale="80" showPageBreaks="1" fitToPage="1">
      <pane xSplit="2" ySplit="9" topLeftCell="C118" activePane="bottomRight" state="frozen"/>
      <selection pane="bottomRight" activeCell="C120" sqref="C120"/>
      <pageMargins left="0.19685039370078741" right="0.23622047244094491" top="0.19685039370078741" bottom="0.19685039370078741" header="0.15748031496062992" footer="0.15748031496062992"/>
      <pageSetup paperSize="9" scale="29" fitToHeight="12" orientation="landscape" horizontalDpi="120" verticalDpi="144" r:id="rId12"/>
      <headerFooter alignWithMargins="0"/>
    </customSheetView>
    <customSheetView guid="{8FB1E024-9866-4CAD-B900-0CCFEA27B234}" scale="75" showPageBreaks="1" fitToPage="1" printArea="1" showRuler="0">
      <pane xSplit="2" ySplit="9" topLeftCell="C120" activePane="bottomRight" state="frozen"/>
      <selection pane="bottomRight" activeCell="H134" sqref="H134"/>
      <pageMargins left="0.19685039370078741" right="0.23622047244094491" top="0.19685039370078741" bottom="0.19685039370078741" header="0.15748031496062992" footer="0.15748031496062992"/>
      <pageSetup paperSize="9" scale="43" fitToHeight="12" orientation="landscape" verticalDpi="144" r:id="rId13"/>
      <headerFooter alignWithMargins="0"/>
    </customSheetView>
    <customSheetView guid="{868786DC-4C96-45F5-A272-3E03D4B934A0}" scale="58" showPageBreaks="1" fitToPage="1">
      <pane xSplit="2" ySplit="9" topLeftCell="C256" activePane="bottomRight" state="frozen"/>
      <selection pane="bottomRight" activeCell="G282" sqref="G282"/>
      <pageMargins left="0.19685039370078741" right="0.23622047244094491" top="0.19685039370078741" bottom="0.19685039370078741" header="0.15748031496062992" footer="0.15748031496062992"/>
      <pageSetup paperSize="9" scale="42" fitToHeight="12" orientation="landscape" horizontalDpi="120" verticalDpi="144" r:id="rId14"/>
      <headerFooter alignWithMargins="0"/>
    </customSheetView>
    <customSheetView guid="{A600D8D5-C13F-49F2-9D2C-FC8EA32AC551}" scale="90" showPageBreaks="1" view="pageBreakPreview">
      <pane xSplit="2" ySplit="7" topLeftCell="C263" activePane="bottomRight" state="frozen"/>
      <selection pane="bottomRight" activeCell="D264" sqref="D264"/>
      <pageMargins left="0.47244094488188981" right="0.23622047244094491" top="0.19685039370078741" bottom="0.19685039370078741" header="0.15748031496062992" footer="0.15748031496062992"/>
      <pageSetup paperSize="9" scale="47" fitToHeight="12" orientation="landscape" verticalDpi="144" r:id="rId15"/>
      <headerFooter differentFirst="1" alignWithMargins="0">
        <oddFooter>&amp;R&amp;P</oddFooter>
      </headerFooter>
    </customSheetView>
    <customSheetView guid="{471079C8-6E8B-4088-8968-A7D0C5B8653D}" scale="85" fitToPage="1">
      <pane xSplit="2" ySplit="9" topLeftCell="C174" activePane="bottomRight" state="frozen"/>
      <selection pane="bottomRight" activeCell="C182" sqref="C182"/>
      <pageMargins left="0.19685039370078741" right="0.23622047244094491" top="0.19685039370078741" bottom="0.19685039370078741" header="0.15748031496062992" footer="0.15748031496062992"/>
      <pageSetup paperSize="9" scale="44" fitToHeight="12" orientation="landscape" horizontalDpi="120" verticalDpi="144" r:id="rId16"/>
      <headerFooter alignWithMargins="0"/>
    </customSheetView>
    <customSheetView guid="{998E5F34-5F22-456C-AF6B-44B849DA5E75}" scale="70">
      <pane xSplit="2" ySplit="5" topLeftCell="F6" activePane="bottomRight" state="frozen"/>
      <selection pane="bottomRight" sqref="A1:J1"/>
      <pageMargins left="0.47244094488188981" right="0.23622047244094491" top="0.19685039370078741" bottom="0.19685039370078741" header="0.15748031496062992" footer="0.15748031496062992"/>
      <pageSetup paperSize="9" scale="48" fitToHeight="12" orientation="landscape" verticalDpi="144" r:id="rId17"/>
      <headerFooter alignWithMargins="0"/>
    </customSheetView>
    <customSheetView guid="{0EDC1FFF-2611-4DAC-98A8-22EC25025967}" scale="75" showPageBreaks="1" fitToPage="1">
      <pane xSplit="2" ySplit="9" topLeftCell="C240" activePane="bottomRight" state="frozen"/>
      <selection pane="bottomRight" activeCell="I240" sqref="I240:J250"/>
      <pageMargins left="0.19685039370078741" right="0.23622047244094491" top="0.19685039370078741" bottom="0.19685039370078741" header="0.15748031496062992" footer="0.15748031496062992"/>
      <pageSetup paperSize="9" scale="40" fitToHeight="12" orientation="landscape" horizontalDpi="120" verticalDpi="144" r:id="rId18"/>
      <headerFooter alignWithMargins="0"/>
    </customSheetView>
    <customSheetView guid="{F9D2B861-A6DF-4E58-9205-20667B07345D}" scale="85" fitToPage="1">
      <pane xSplit="2" ySplit="9" topLeftCell="C10" activePane="bottomRight" state="frozen"/>
      <selection pane="bottomRight" activeCell="A174" sqref="A174"/>
      <pageMargins left="0.19685039370078741" right="0.23622047244094491" top="0.19685039370078741" bottom="0.19685039370078741" header="0.15748031496062992" footer="0.15748031496062992"/>
      <pageSetup paperSize="9" scale="40" fitToHeight="12" orientation="landscape" horizontalDpi="120" verticalDpi="144" r:id="rId19"/>
      <headerFooter alignWithMargins="0"/>
    </customSheetView>
    <customSheetView guid="{33313D92-ACCC-472C-8066-C92558BED64F}" scale="65" showPageBreaks="1" fitToPage="1">
      <pane xSplit="2" ySplit="9" topLeftCell="C220" activePane="bottomRight" state="frozen"/>
      <selection pane="bottomRight" activeCell="C124" sqref="C124:F124"/>
      <pageMargins left="0.19685039370078741" right="0.23622047244094491" top="0.19685039370078741" bottom="0.19685039370078741" header="0.15748031496062992" footer="0.15748031496062992"/>
      <pageSetup paperSize="9" scale="40" fitToHeight="12" orientation="landscape" horizontalDpi="120" verticalDpi="144" r:id="rId20"/>
      <headerFooter alignWithMargins="0"/>
    </customSheetView>
    <customSheetView guid="{B5FF27E5-4C0E-4323-88CE-5D44F441DDEF}" scale="60" fitToPage="1">
      <pane xSplit="2" ySplit="9" topLeftCell="D65" activePane="bottomRight" state="frozen"/>
      <selection pane="bottomRight" activeCell="F101" sqref="F101"/>
      <pageMargins left="0.19685039370078741" right="0.23622047244094491" top="0.19685039370078741" bottom="0.19685039370078741" header="0.15748031496062992" footer="0.15748031496062992"/>
      <pageSetup paperSize="9" scale="40" fitToHeight="12" orientation="landscape" horizontalDpi="120" verticalDpi="144" r:id="rId21"/>
      <headerFooter alignWithMargins="0"/>
    </customSheetView>
    <customSheetView guid="{CC0A6F72-A956-4FF0-A9CF-B2F133844683}" scale="75" fitToPage="1" topLeftCell="A4">
      <pane xSplit="2" ySplit="1" topLeftCell="D247" activePane="bottomRight" state="frozen"/>
      <selection pane="bottomRight" activeCell="D263" sqref="D263"/>
      <pageMargins left="0.19685039370078741" right="0.23622047244094491" top="0.19685039370078741" bottom="0.19685039370078741" header="0.15748031496062992" footer="0.15748031496062992"/>
      <pageSetup paperSize="9" scale="49" fitToHeight="12" orientation="landscape" horizontalDpi="120" verticalDpi="144" r:id="rId22"/>
      <headerFooter alignWithMargins="0"/>
    </customSheetView>
    <customSheetView guid="{2A0A5548-2EEF-4469-A03C-FA481083CE33}" scale="60" showPageBreaks="1" fitToPage="1" showRuler="0">
      <pane xSplit="2" ySplit="9" topLeftCell="C84" activePane="bottomRight" state="frozen"/>
      <selection pane="bottomRight" activeCell="D85" sqref="D85"/>
      <pageMargins left="0.19685039370078741" right="0.23622047244094491" top="0.19685039370078741" bottom="0.19685039370078741" header="0.15748031496062992" footer="0.15748031496062992"/>
      <pageSetup paperSize="9" scale="49" fitToHeight="12" orientation="landscape" horizontalDpi="120" verticalDpi="144" r:id="rId23"/>
      <headerFooter alignWithMargins="0"/>
    </customSheetView>
    <customSheetView guid="{7EDDA008-F905-436E-A980-951BDACDA577}" scale="80" fitToPage="1">
      <pane xSplit="2" ySplit="9" topLeftCell="C10" activePane="bottomRight" state="frozen"/>
      <selection pane="bottomRight" activeCell="I19" sqref="I19"/>
      <pageMargins left="0.19685039370078741" right="0.23622047244094491" top="0.19685039370078741" bottom="0.19685039370078741" header="0.15748031496062992" footer="0.15748031496062992"/>
      <pageSetup paperSize="9" scale="50" fitToHeight="12" orientation="landscape" horizontalDpi="120" verticalDpi="144" r:id="rId24"/>
      <headerFooter alignWithMargins="0"/>
    </customSheetView>
    <customSheetView guid="{452C56A1-7A56-4ADE-A5CF-E260228787E3}" scale="75" showPageBreaks="1" fitToPage="1" printArea="1" view="pageBreakPreview" showRuler="0" topLeftCell="A6">
      <pane xSplit="2" ySplit="4" topLeftCell="J189" activePane="bottomRight" state="frozen"/>
      <selection pane="bottomRight" activeCell="A197" sqref="A197:J197"/>
      <pageMargins left="0.19685039370078741" right="0.23622047244094491" top="0.19685039370078741" bottom="0.19685039370078741" header="0.15748031496062992" footer="0.15748031496062992"/>
      <pageSetup paperSize="9" scale="53" fitToHeight="12" orientation="landscape" horizontalDpi="120" verticalDpi="144" r:id="rId25"/>
      <headerFooter alignWithMargins="0"/>
    </customSheetView>
    <customSheetView guid="{3B5575E9-696E-4E1F-8BBE-8483CF318052}" scale="75" fitToPage="1" printArea="1" showRuler="0">
      <pane xSplit="2" ySplit="9" topLeftCell="G49" activePane="bottomRight" state="frozen"/>
      <selection pane="bottomRight" activeCell="G52" sqref="G52"/>
      <pageMargins left="0.19685039370078741" right="0.23622047244094491" top="0.19685039370078741" bottom="0.19685039370078741" header="0.15748031496062992" footer="0.15748031496062992"/>
      <pageSetup paperSize="9" scale="58" fitToHeight="12" orientation="landscape" horizontalDpi="120" verticalDpi="144" r:id="rId26"/>
      <headerFooter alignWithMargins="0"/>
    </customSheetView>
    <customSheetView guid="{E147D13D-D04D-431E-888C-5A9AE670FC44}" scale="75" showPageBreaks="1" view="pageBreakPreview" showRuler="0" topLeftCell="A7">
      <pane xSplit="2" ySplit="10" topLeftCell="C140" activePane="bottomRight" state="frozen"/>
      <selection pane="bottomRight" activeCell="A145" sqref="A145"/>
      <pageMargins left="0.19685039370078741" right="0.23622047244094491" top="0.19685039370078741" bottom="0.19685039370078741" header="0.15748031496062992" footer="0.15748031496062992"/>
      <pageSetup paperSize="9" scale="59" orientation="landscape" horizontalDpi="120" verticalDpi="144" r:id="rId27"/>
      <headerFooter alignWithMargins="0"/>
    </customSheetView>
    <customSheetView guid="{795D5ECF-BF90-4F3E-A74E-B1A55C8421F2}" scale="75" fitToPage="1">
      <pane xSplit="2" ySplit="9" topLeftCell="C65" activePane="bottomRight" state="frozen"/>
      <selection pane="bottomRight" activeCell="B83" sqref="B83"/>
      <pageMargins left="0.19685039370078741" right="0.23622047244094491" top="0.19685039370078741" bottom="0.19685039370078741" header="0.15748031496062992" footer="0.15748031496062992"/>
      <pageSetup paperSize="9" scale="49" fitToHeight="12" orientation="landscape" horizontalDpi="120" verticalDpi="144" r:id="rId28"/>
      <headerFooter alignWithMargins="0"/>
    </customSheetView>
    <customSheetView guid="{5EEB5DC5-097B-47D6-81BA-F19E1000B57E}" scale="75" fitToPage="1" printArea="1" showRuler="0">
      <pane xSplit="2" ySplit="9" topLeftCell="C131" activePane="bottomRight" state="frozen"/>
      <selection pane="bottomRight" activeCell="G189" sqref="G189"/>
      <pageMargins left="0.19685039370078741" right="0.23622047244094491" top="0.19685039370078741" bottom="0.19685039370078741" header="0.15748031496062992" footer="0.15748031496062992"/>
      <pageSetup paperSize="9" scale="49" fitToHeight="12" orientation="landscape" horizontalDpi="120" verticalDpi="144" r:id="rId29"/>
      <headerFooter alignWithMargins="0"/>
    </customSheetView>
    <customSheetView guid="{839A87F2-F73A-45C5-ADB8-392A99CC1EFF}" scale="85" fitToPage="1">
      <pane xSplit="2" ySplit="4" topLeftCell="C286" activePane="bottomRight" state="frozen"/>
      <selection pane="bottomRight" activeCell="L291" sqref="L291"/>
      <pageMargins left="0.19685039370078741" right="0.23622047244094491" top="0.19685039370078741" bottom="0.19685039370078741" header="0.15748031496062992" footer="0.15748031496062992"/>
      <pageSetup paperSize="9" scale="48" fitToHeight="12" orientation="landscape" horizontalDpi="120" verticalDpi="144" r:id="rId30"/>
      <headerFooter alignWithMargins="0"/>
    </customSheetView>
    <customSheetView guid="{72EDDA2C-BFF2-4D48-A13B-2B9C46213374}" scale="75" fitToPage="1">
      <pane xSplit="2" ySplit="9" topLeftCell="D242" activePane="bottomRight" state="frozen"/>
      <selection pane="bottomRight" activeCell="H241" sqref="H241"/>
      <pageMargins left="0.19685039370078741" right="0.23622047244094491" top="0.19685039370078741" bottom="0.19685039370078741" header="0.15748031496062992" footer="0.15748031496062992"/>
      <pageSetup paperSize="9" scale="49" fitToHeight="12" orientation="landscape" horizontalDpi="120" verticalDpi="144" r:id="rId31"/>
      <headerFooter alignWithMargins="0"/>
    </customSheetView>
    <customSheetView guid="{B0CF427B-E64B-46A6-97A4-9B49090FE4BE}" scale="85" fitToPage="1">
      <pane xSplit="2" ySplit="9" topLeftCell="C130" activePane="bottomRight" state="frozen"/>
      <selection pane="bottomRight" activeCell="A133" sqref="A133:IV133"/>
      <pageMargins left="0.19685039370078741" right="0.23622047244094491" top="0.19685039370078741" bottom="0.19685039370078741" header="0.15748031496062992" footer="0.15748031496062992"/>
      <pageSetup paperSize="9" scale="29" fitToHeight="12" orientation="landscape" horizontalDpi="120" verticalDpi="144" r:id="rId32"/>
      <headerFooter alignWithMargins="0"/>
    </customSheetView>
    <customSheetView guid="{8112C56A-816E-41B5-AC5C-5C34336EE27C}" scale="85" fitToPage="1">
      <pane xSplit="2" ySplit="9" topLeftCell="F215" activePane="bottomRight" state="frozen"/>
      <selection pane="bottomRight" activeCell="H220" sqref="H220"/>
      <pageMargins left="0.19685039370078741" right="0.23622047244094491" top="0.19685039370078741" bottom="0.19685039370078741" header="0.15748031496062992" footer="0.15748031496062992"/>
      <pageSetup paperSize="9" scale="44" fitToHeight="12" orientation="landscape" horizontalDpi="120" verticalDpi="144" r:id="rId33"/>
      <headerFooter alignWithMargins="0"/>
    </customSheetView>
    <customSheetView guid="{90518B97-7307-4173-A97E-975285B914B1}" scale="75" showPageBreaks="1" topLeftCell="A115">
      <selection activeCell="C120" sqref="C120"/>
      <pageMargins left="0.47244094488188981" right="0.23622047244094491" top="0.19685039370078741" bottom="0.19685039370078741" header="0.15748031496062992" footer="0.15748031496062992"/>
      <pageSetup paperSize="9" scale="48" fitToHeight="12" orientation="landscape" verticalDpi="144" r:id="rId34"/>
      <headerFooter differentFirst="1" alignWithMargins="0">
        <oddFooter>&amp;R&amp;P</oddFooter>
      </headerFooter>
    </customSheetView>
    <customSheetView guid="{F9324F9E-6E0D-484A-B1A6-F87CCAA93894}" scale="90" fitToPage="1">
      <pane xSplit="2" ySplit="9" topLeftCell="C121" activePane="bottomRight" state="frozen"/>
      <selection pane="bottomRight" activeCell="G323" sqref="G323"/>
      <pageMargins left="0.19685039370078741" right="0.23622047244094491" top="0.19685039370078741" bottom="0.19685039370078741" header="0.15748031496062992" footer="0.15748031496062992"/>
      <pageSetup paperSize="9" scale="49" fitToHeight="12" orientation="landscape" horizontalDpi="120" verticalDpi="144" r:id="rId35"/>
      <headerFooter alignWithMargins="0"/>
    </customSheetView>
    <customSheetView guid="{713A662A-DFDD-43FB-A56E-1E210432D89D}" scale="85" fitToPage="1">
      <pane xSplit="2" ySplit="9" topLeftCell="C104" activePane="bottomRight" state="frozen"/>
      <selection pane="bottomRight" activeCell="C117" sqref="C117:C118"/>
      <pageMargins left="0.19685039370078741" right="0.23622047244094491" top="0.19685039370078741" bottom="0.19685039370078741" header="0.15748031496062992" footer="0.15748031496062992"/>
      <pageSetup paperSize="9" scale="36" fitToHeight="12" orientation="landscape" horizontalDpi="120" verticalDpi="144" r:id="rId36"/>
      <headerFooter alignWithMargins="0"/>
    </customSheetView>
    <customSheetView guid="{1BDFBE17-25BB-4BB9-B67F-4757B39B2D64}" scale="70" showPageBreaks="1" fitToPage="1" hiddenRows="1">
      <pane xSplit="2" ySplit="9" topLeftCell="C70" activePane="bottomRight" state="frozen"/>
      <selection pane="bottomRight" activeCell="B70" sqref="B70"/>
      <pageMargins left="0.19685039370078741" right="0.23622047244094491" top="0.19685039370078741" bottom="0.19685039370078741" header="0.15748031496062992" footer="0.15748031496062992"/>
      <pageSetup paperSize="9" scale="20" fitToHeight="12" orientation="landscape" verticalDpi="144" r:id="rId37"/>
      <headerFooter alignWithMargins="0"/>
    </customSheetView>
    <customSheetView guid="{3824CD03-2F75-4531-8348-997F8B6518CE}" scale="85" fitToPage="1">
      <pane xSplit="2" ySplit="9" topLeftCell="C194" activePane="bottomRight" state="frozen"/>
      <selection pane="bottomRight" activeCell="E200" sqref="E200"/>
      <pageMargins left="0.19685039370078741" right="0.23622047244094491" top="0.19685039370078741" bottom="0.19685039370078741" header="0.15748031496062992" footer="0.15748031496062992"/>
      <pageSetup paperSize="9" scale="36" fitToHeight="12" orientation="landscape" horizontalDpi="120" verticalDpi="144" r:id="rId38"/>
      <headerFooter alignWithMargins="0"/>
    </customSheetView>
    <customSheetView guid="{B09841F2-D07A-4B31-A395-000C1A63FF41}" scale="75" showPageBreaks="1" fitToPage="1" printArea="1" showRuler="0">
      <pane xSplit="2" ySplit="9" topLeftCell="C37" activePane="bottomRight" state="frozen"/>
      <selection pane="bottomRight" activeCell="C45" sqref="C45"/>
      <pageMargins left="0.19685039370078741" right="0.19685039370078741" top="0.19685039370078741" bottom="0.19685039370078741" header="0.15748031496062992" footer="0.15748031496062992"/>
      <pageSetup paperSize="9" scale="48" fitToHeight="14" orientation="landscape" verticalDpi="144" r:id="rId39"/>
      <headerFooter alignWithMargins="0"/>
    </customSheetView>
    <customSheetView guid="{06B33669-D909-4CD8-806F-33C009B9DF0A}" scale="75" showPageBreaks="1" fitToPage="1">
      <pane xSplit="2" ySplit="9" topLeftCell="C239" activePane="bottomRight" state="frozen"/>
      <selection pane="bottomRight" activeCell="N251" sqref="N251"/>
      <pageMargins left="0.19685039370078741" right="0.23622047244094491" top="0.19685039370078741" bottom="0.19685039370078741" header="0.15748031496062992" footer="0.15748031496062992"/>
      <pageSetup paperSize="9" scale="10" fitToHeight="12" orientation="portrait" horizontalDpi="120" verticalDpi="144" r:id="rId40"/>
      <headerFooter alignWithMargins="0"/>
    </customSheetView>
    <customSheetView guid="{D0621073-25BE-47D7-AC33-51146458D41C}" scale="85" showPageBreaks="1" fitToPage="1">
      <pane xSplit="2" ySplit="9" topLeftCell="C207" activePane="bottomRight" state="frozen"/>
      <selection pane="bottomRight" activeCell="B219" sqref="B219"/>
      <pageMargins left="0.19685039370078741" right="0.23622047244094491" top="0.19685039370078741" bottom="0.19685039370078741" header="0.15748031496062992" footer="0.15748031496062992"/>
      <pageSetup paperSize="9" scale="13" fitToHeight="12" orientation="landscape" horizontalDpi="120" verticalDpi="144" r:id="rId41"/>
      <headerFooter alignWithMargins="0"/>
    </customSheetView>
    <customSheetView guid="{68CBFC64-03A4-4F74-B34E-EE1DB915A668}" scale="85" showPageBreaks="1" fitToPage="1">
      <pane xSplit="2" ySplit="9" topLeftCell="C113" activePane="bottomRight" state="frozen"/>
      <selection pane="bottomRight" activeCell="H116" sqref="H116"/>
      <pageMargins left="0.19685039370078741" right="0.23622047244094491" top="0.19685039370078741" bottom="0.19685039370078741" header="0.15748031496062992" footer="0.15748031496062992"/>
      <pageSetup paperSize="9" scale="10" orientation="landscape" verticalDpi="144" r:id="rId42"/>
      <headerFooter alignWithMargins="0"/>
    </customSheetView>
    <customSheetView guid="{95A7493F-2B11-406A-BB91-458FD9DC3BAE}" scale="75" showPageBreaks="1" fitToPage="1" printArea="1" showRuler="0">
      <pane xSplit="2" ySplit="9" topLeftCell="C113" activePane="bottomRight" state="frozen"/>
      <selection pane="bottomRight" activeCell="A8" sqref="A8:XFD112"/>
      <pageMargins left="0.19685039370078741" right="0.19685039370078741" top="0.19685039370078741" bottom="0.19685039370078741" header="0.15748031496062992" footer="0.15748031496062992"/>
      <pageSetup paperSize="9" scale="48" fitToHeight="14" orientation="landscape" verticalDpi="144" r:id="rId43"/>
      <headerFooter alignWithMargins="0"/>
    </customSheetView>
    <customSheetView guid="{2C18B72E-FABC-405E-9989-871873679CB9}" scale="85" showPageBreaks="1" fitToPage="1">
      <pane xSplit="2" ySplit="9" topLeftCell="C156" activePane="bottomRight" state="frozen"/>
      <selection pane="bottomRight" activeCell="B161" sqref="B161"/>
      <pageMargins left="0.19685039370078741" right="0.23622047244094491" top="0.19685039370078741" bottom="0.19685039370078741" header="0.15748031496062992" footer="0.15748031496062992"/>
      <pageSetup paperSize="9" scale="13" fitToHeight="12" orientation="landscape" horizontalDpi="120" verticalDpi="144" r:id="rId44"/>
      <headerFooter alignWithMargins="0"/>
    </customSheetView>
    <customSheetView guid="{CFD58EC5-F475-4F0C-8822-861C497EA100}" scale="65" showPageBreaks="1" fitToPage="1" printArea="1" showAutoFilter="1" view="pageBreakPreview">
      <pane xSplit="2" ySplit="7" topLeftCell="C283" activePane="bottomRight" state="frozen"/>
      <selection pane="bottomRight" activeCell="F270" sqref="F270"/>
      <pageMargins left="0.19685039370078741" right="0.23622047244094491" top="0.19685039370078741" bottom="0.19685039370078741" header="0.15748031496062992" footer="0.15748031496062992"/>
      <pageSetup paperSize="9" scale="48" fitToHeight="12" orientation="landscape" verticalDpi="144" r:id="rId45"/>
      <headerFooter alignWithMargins="0"/>
      <autoFilter ref="A6:CQ371"/>
    </customSheetView>
  </customSheetViews>
  <mergeCells count="11">
    <mergeCell ref="H2:I2"/>
    <mergeCell ref="A301:B301"/>
    <mergeCell ref="A304:B304"/>
    <mergeCell ref="A299:J299"/>
    <mergeCell ref="A113:J113"/>
    <mergeCell ref="A4:J4"/>
    <mergeCell ref="C6:F6"/>
    <mergeCell ref="G6:J6"/>
    <mergeCell ref="A6:A7"/>
    <mergeCell ref="B6:B7"/>
    <mergeCell ref="A9:J9"/>
  </mergeCells>
  <phoneticPr fontId="1" type="noConversion"/>
  <printOptions horizontalCentered="1"/>
  <pageMargins left="0.19685039370078741" right="0.19685039370078741" top="1.1811023622047245" bottom="0.39370078740157483" header="0.15748031496062992" footer="0.15748031496062992"/>
  <pageSetup paperSize="9" scale="48" fitToHeight="12" orientation="landscape" verticalDpi="144" r:id="rId46"/>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customSheetViews>
    <customSheetView guid="{966D3932-E429-4C59-AC55-697D9EEA620A}">
      <pageMargins left="0.7" right="0.7" top="0.75" bottom="0.75" header="0.3" footer="0.3"/>
    </customSheetView>
    <customSheetView guid="{0CBA335B-0DD8-471B-913E-91954D8A7DE8}">
      <pageMargins left="0.7" right="0.7" top="0.75" bottom="0.75" header="0.3" footer="0.3"/>
    </customSheetView>
    <customSheetView guid="{84AB9039-6109-4932-AA14-522BD4A30F0B}">
      <pageMargins left="0.7" right="0.7" top="0.75" bottom="0.75" header="0.3" footer="0.3"/>
    </customSheetView>
    <customSheetView guid="{675C859F-867B-4E3E-8283-3B2C94BFA5E5}">
      <pageMargins left="0.7" right="0.7" top="0.75" bottom="0.75" header="0.3" footer="0.3"/>
    </customSheetView>
    <customSheetView guid="{EF32CA8F-131B-41F0-AA31-167807ADE2D4}">
      <pageMargins left="0.7" right="0.7" top="0.75" bottom="0.75" header="0.3" footer="0.3"/>
    </customSheetView>
    <customSheetView guid="{3824CD03-2F75-4531-8348-997F8B6518CE}">
      <pageMargins left="0.7" right="0.7" top="0.75" bottom="0.75" header="0.3" footer="0.3"/>
    </customSheetView>
    <customSheetView guid="{B09841F2-D07A-4B31-A395-000C1A63FF41}">
      <pageMargins left="0.7" right="0.7" top="0.75" bottom="0.75" header="0.3" footer="0.3"/>
    </customSheetView>
    <customSheetView guid="{06B33669-D909-4CD8-806F-33C009B9DF0A}">
      <pageMargins left="0.7" right="0.7" top="0.75" bottom="0.75" header="0.3" footer="0.3"/>
    </customSheetView>
    <customSheetView guid="{D0621073-25BE-47D7-AC33-51146458D41C}">
      <pageMargins left="0.7" right="0.7" top="0.75" bottom="0.75" header="0.3" footer="0.3"/>
    </customSheetView>
    <customSheetView guid="{68CBFC64-03A4-4F74-B34E-EE1DB915A668}">
      <pageMargins left="0.7" right="0.7" top="0.75" bottom="0.75" header="0.3" footer="0.3"/>
    </customSheetView>
    <customSheetView guid="{95A7493F-2B11-406A-BB91-458FD9DC3BAE}">
      <pageMargins left="0.7" right="0.7" top="0.75" bottom="0.75" header="0.3" footer="0.3"/>
    </customSheetView>
    <customSheetView guid="{2C18B72E-FABC-405E-9989-871873679CB9}">
      <pageMargins left="0.7" right="0.7" top="0.75" bottom="0.75" header="0.3" footer="0.3"/>
    </customSheetView>
    <customSheetView guid="{CFD58EC5-F475-4F0C-8822-861C497EA10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общее</vt:lpstr>
      <vt:lpstr>Лист1</vt:lpstr>
      <vt:lpstr>общее!Заголовки_для_печати</vt:lpstr>
      <vt:lpstr>общее!Область_печати</vt:lpstr>
    </vt:vector>
  </TitlesOfParts>
  <Company>1</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User416b</cp:lastModifiedBy>
  <cp:lastPrinted>2025-02-13T11:51:51Z</cp:lastPrinted>
  <dcterms:created xsi:type="dcterms:W3CDTF">2001-02-08T10:51:36Z</dcterms:created>
  <dcterms:modified xsi:type="dcterms:W3CDTF">2025-02-13T11:51:55Z</dcterms:modified>
</cp:coreProperties>
</file>