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5F0B89F0-C00A-4A98-9600-A6F6FA4DD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е" sheetId="1" r:id="rId1"/>
  </sheets>
  <definedNames>
    <definedName name="_xlnm._FilterDatabase" localSheetId="0" hidden="1">загальне!$A$6:$AE$284</definedName>
    <definedName name="Z_005F280F_9A8C_4D61_A462_F589D592D290_.wvu.FilterData" localSheetId="0" hidden="1">загальне!$A$6:$J$284</definedName>
    <definedName name="Z_027FE178_1172_4222_AF5C_23D964AF488A_.wvu.FilterData" localSheetId="0" hidden="1">загальне!$A$4:$J$6</definedName>
    <definedName name="Z_0344C8F5_CCC1_4DA4_B4BA_9CEFB0A093F3_.wvu.FilterData" localSheetId="0" hidden="1">загальне!$A$6:$J$284</definedName>
    <definedName name="Z_0419BBFE_F3CF_4518_8D24_82FEA8B7DDD6_.wvu.FilterData" localSheetId="0" hidden="1">загальне!$A$6:$J$432</definedName>
    <definedName name="Z_06B1F1AE_9936_453D_B440_89FD7733A859_.wvu.FilterData" localSheetId="0" hidden="1">загальне!$A$6:$J$330</definedName>
    <definedName name="Z_06B33669_D909_4CD8_806F_33C009B9DF0A_.wvu.FilterData" localSheetId="0" hidden="1">загальне!$A$6:$CE$284</definedName>
    <definedName name="Z_06B33669_D909_4CD8_806F_33C009B9DF0A_.wvu.PrintArea" localSheetId="0" hidden="1">загальне!$A$1:$J$284</definedName>
    <definedName name="Z_06B33669_D909_4CD8_806F_33C009B9DF0A_.wvu.PrintTitles" localSheetId="0" hidden="1">загальне!$6:$6</definedName>
    <definedName name="Z_08491732_1BAF_49CD_8956_D3E9C2B85304_.wvu.FilterData" localSheetId="0" hidden="1">загальне!$A$6:$J$284</definedName>
    <definedName name="Z_09F33DD9_E062_4B93_90BA_A6E8876D9E62_.wvu.FilterData" localSheetId="0" hidden="1">загальне!$A$4:$J$6</definedName>
    <definedName name="Z_0B19D168_858D_4BCF_80E5_C18DD77CBE9F_.wvu.FilterData" localSheetId="0" hidden="1">загальне!$A$4:$J$6</definedName>
    <definedName name="Z_0BDDB9FE_C07B_4E21_8514_F3881AE78CD6_.wvu.FilterData" localSheetId="0" hidden="1">загальне!$A$6:$J$284</definedName>
    <definedName name="Z_0C71E80D_0254_4693_A8EC_34A4BD1A6F73_.wvu.FilterData" localSheetId="0" hidden="1">загальне!$A$4:$J$6</definedName>
    <definedName name="Z_0CBA335B_0DD8_471B_913E_91954D8A7DE8_.wvu.FilterData" localSheetId="0" hidden="1">загальне!$A$6:$CE$284</definedName>
    <definedName name="Z_0EDC1FFF_2611_4DAC_98A8_22EC25025967_.wvu.FilterData" localSheetId="0" hidden="1">загальне!$A$6:$J$330</definedName>
    <definedName name="Z_0F954C44_2E2C_4880_A030_4864EA711FE0_.wvu.FilterData" localSheetId="0" hidden="1">загальне!$A$6:$J$432</definedName>
    <definedName name="Z_110BDF82_DEEB_4DFF_93DC_10599C38B57F_.wvu.FilterData" localSheetId="0" hidden="1">загальне!$A$6:$J$284</definedName>
    <definedName name="Z_127A86E4_7224_417D_A193_D2D119406FD2_.wvu.FilterData" localSheetId="0" hidden="1">загальне!$A$6:$CE$284</definedName>
    <definedName name="Z_16D4F077_2EAE_4B98_A742_A1CD9A7B633C_.wvu.FilterData" localSheetId="0" hidden="1">загальне!$A$6:$J$330</definedName>
    <definedName name="Z_1748D69A_4DB3_487A_8AD7_C0B3B71D3FB6_.wvu.FilterData" localSheetId="0" hidden="1">загальне!$A$4:$J$6</definedName>
    <definedName name="Z_1862B7E4_4060_4370_88AF_4829C34881B7_.wvu.FilterData" localSheetId="0" hidden="1">загальне!$A$6:$J$432</definedName>
    <definedName name="Z_194CC79D_B426_45A9_B4B4_0D8713FDEBCE_.wvu.FilterData" localSheetId="0" hidden="1">загальне!$A$6:$J$284</definedName>
    <definedName name="Z_1BA267BF_F5D4_4EB6_B077_27E074A28B2C_.wvu.FilterData" localSheetId="0" hidden="1">загальне!$A$6:$J$432</definedName>
    <definedName name="Z_1BDFBE17_25BB_4BB9_B67F_4757B39B2D64_.wvu.FilterData" localSheetId="0" hidden="1">загальне!$A$6:$J$284</definedName>
    <definedName name="Z_1BDFBE17_25BB_4BB9_B67F_4757B39B2D64_.wvu.Rows" localSheetId="0" hidden="1">загальне!#REF!</definedName>
    <definedName name="Z_1D3F5B87_83EB_4F94_9B50_0C99177D99F9_.wvu.FilterData" localSheetId="0" hidden="1">загальне!$A$6:$J$284</definedName>
    <definedName name="Z_1E3BB7AF_B756_4A0C_A2BE_D723B28D252A_.wvu.FilterData" localSheetId="0" hidden="1">загальне!$A$6:$J$330</definedName>
    <definedName name="Z_1FC076B5_9648_483F_BBEB_68BAECB9E209_.wvu.FilterData" localSheetId="0" hidden="1">загальне!$A$6:$J$284</definedName>
    <definedName name="Z_2021983A_3D6E_4804_9038_C33FE9EA644F_.wvu.FilterData" localSheetId="0" hidden="1">загальне!$A$6:$J$330</definedName>
    <definedName name="Z_2140268D_DEA7_466F_AE25_EAEFFE2D0081_.wvu.FilterData" localSheetId="0" hidden="1">загальне!$A$4:$J$6</definedName>
    <definedName name="Z_21651801_29AF_44DA_B88B_12DD75943577_.wvu.FilterData" localSheetId="0" hidden="1">загальне!$A$6:$J$330</definedName>
    <definedName name="Z_221AFC77_C97B_4D44_8163_7AA758A08BF9_.wvu.FilterData" localSheetId="0" hidden="1">загальне!$A$6:$J$284</definedName>
    <definedName name="Z_221AFC77_C97B_4D44_8163_7AA758A08BF9_.wvu.PrintArea" localSheetId="0" hidden="1">загальне!$A$2:$J$269</definedName>
    <definedName name="Z_221AFC77_C97B_4D44_8163_7AA758A08BF9_.wvu.PrintTitles" localSheetId="0" hidden="1">загальне!$6:$6</definedName>
    <definedName name="Z_23143807_1CCE_467D_8F79_FB088A4A08A4_.wvu.FilterData" localSheetId="0" hidden="1">загальне!$A$6:$J$432</definedName>
    <definedName name="Z_24E8AEAA_06F7_460E_9064_DAA742C6F748_.wvu.FilterData" localSheetId="0" hidden="1">загальне!$A$6:$J$284</definedName>
    <definedName name="Z_24F3E475_1A82_464A_A2B9_6272C75DE965_.wvu.FilterData" localSheetId="0" hidden="1">загальне!$A$6:$J$432</definedName>
    <definedName name="Z_258565C2_6F7E_47DA_A97D_5DEA70489C65_.wvu.FilterData" localSheetId="0" hidden="1">загальне!$A$6:$J$284</definedName>
    <definedName name="Z_2627E621_2724_4458_A97A_DA4867CC78C7_.wvu.FilterData" localSheetId="0" hidden="1">загальне!$A$6:$J$284</definedName>
    <definedName name="Z_26302507_6225_4D5F_830E_9C0EA681B1F9_.wvu.FilterData" localSheetId="0" hidden="1">загальне!$A$6:$J$432</definedName>
    <definedName name="Z_2A0A5548_2EEF_4469_A03C_FA481083CE33_.wvu.FilterData" localSheetId="0" hidden="1">загальне!$A$6:$J$330</definedName>
    <definedName name="Z_2A0F7507_0A42_453D_A355_76CAEA9B66E7_.wvu.FilterData" localSheetId="0" hidden="1">загальне!$A$6:$CE$284</definedName>
    <definedName name="Z_2A4C0749_63B0_4D48_8771_593E99B870CF_.wvu.FilterData" localSheetId="0" hidden="1">загальне!$A$6:$J$330</definedName>
    <definedName name="Z_2A873CA7_D1CE_4F50_B607_3E6930776CDE_.wvu.FilterData" localSheetId="0" hidden="1">загальне!$A$6:$J$284</definedName>
    <definedName name="Z_2B716970_0AE9_4529_8009_3AC0E7738E74_.wvu.FilterData" localSheetId="0" hidden="1">загальне!$A$6:$J$284</definedName>
    <definedName name="Z_2C16AC7D_1F05_4386_90A0_A2DA4836DDE1_.wvu.FilterData" localSheetId="0" hidden="1">загальне!$A$6:$J$284</definedName>
    <definedName name="Z_2C18B72E_FABC_405E_9989_871873679CB9_.wvu.FilterData" localSheetId="0" hidden="1">загальне!$A$6:$CE$284</definedName>
    <definedName name="Z_2D1F835C_2905_49B2_ACB0_6B5DC39ABF77_.wvu.FilterData" localSheetId="0" hidden="1">загальне!$A$6:$J$432</definedName>
    <definedName name="Z_2DB33E37_AA0F_4B4B_B7C9_A11BA792B878_.wvu.FilterData" localSheetId="0" hidden="1">загальне!$A$4:$J$6</definedName>
    <definedName name="Z_2E403391_C63C_4844_B760_535E5B14235D_.wvu.FilterData" localSheetId="0" hidden="1">загальне!$A$6:$J$284</definedName>
    <definedName name="Z_2EA6131F_89B6_4FC5_8D3F_2E657C0F9729_.wvu.FilterData" localSheetId="0" hidden="1">загальне!$A$6:$J$284</definedName>
    <definedName name="Z_3054E370_5DE4_4F07_9AEC_8E1396CAD8D6_.wvu.FilterData" localSheetId="0" hidden="1">загальне!$A$6:$J$330</definedName>
    <definedName name="Z_30EAEA67_9656_4874_9B82_0AE83C45AB26_.wvu.FilterData" localSheetId="0" hidden="1">загальне!$A$6:$J$330</definedName>
    <definedName name="Z_315252D1_A60E_4446_B1ED_7AE241C4BB71_.wvu.FilterData" localSheetId="0" hidden="1">загальне!$A$6:$J$330</definedName>
    <definedName name="Z_322077ED_714E_4730_9121_953073B8C43F_.wvu.FilterData" localSheetId="0" hidden="1">загальне!$A$6:$J$283</definedName>
    <definedName name="Z_328CDE5C_E0E2_44CE_B73A_F70E81E6C6B2_.wvu.FilterData" localSheetId="0" hidden="1">загальне!$A$6:$J$284</definedName>
    <definedName name="Z_33313D92_ACCC_472C_8066_C92558BED64F_.wvu.FilterData" localSheetId="0" hidden="1">загальне!$A$6:$J$330</definedName>
    <definedName name="Z_33FCD28F_F474_4478_8228_BBE6129DFD33_.wvu.FilterData" localSheetId="0" hidden="1">загальне!$A$6:$J$330</definedName>
    <definedName name="Z_36602011_6F80_4B7E_9881_FDB5866DE132_.wvu.FilterData" localSheetId="0" hidden="1">загальне!$A$6:$J$432</definedName>
    <definedName name="Z_3669D157_84D7_4518_A2FA_05770F414005_.wvu.FilterData" localSheetId="0" hidden="1">загальне!$A$6:$J$284</definedName>
    <definedName name="Z_3824CD03_2F75_4531_8348_997F8B6518CE_.wvu.FilterData" localSheetId="0" hidden="1">загальне!$A$6:$J$284</definedName>
    <definedName name="Z_3882A51E_FD17_4C10_93F2_F0C9B03BC730_.wvu.FilterData" localSheetId="0" hidden="1">загальне!$A$6:$J$284</definedName>
    <definedName name="Z_39B9868C_0524_4A04_B50B_22CB89138F2C_.wvu.FilterData" localSheetId="0" hidden="1">загальне!$A$6:$J$284</definedName>
    <definedName name="Z_3A3D386F_BF44_4CDF_AECB_A030233CF3BE_.wvu.FilterData" localSheetId="0" hidden="1">загальне!$A$6:$J$432</definedName>
    <definedName name="Z_3A5AB62D_FD5B_46FC_A5C8_48D316ED75AE_.wvu.FilterData" localSheetId="0" hidden="1">загальне!$A$6:$J$284</definedName>
    <definedName name="Z_3B5575E9_696E_4E1F_8BBE_8483CF318052_.wvu.FilterData" localSheetId="0" hidden="1">загальне!$A$4:$J$6</definedName>
    <definedName name="Z_3B5575E9_696E_4E1F_8BBE_8483CF318052_.wvu.PrintArea" localSheetId="0" hidden="1">загальне!$A$2:$J$269</definedName>
    <definedName name="Z_3B5575E9_696E_4E1F_8BBE_8483CF318052_.wvu.PrintTitles" localSheetId="0" hidden="1">загальне!$6:$6</definedName>
    <definedName name="Z_3F669C1C_24D3_4C3D_9A16_6C0219D100D3_.wvu.FilterData" localSheetId="0" hidden="1">загальне!$A$4:$J$6</definedName>
    <definedName name="Z_40E0D498_E2F0_4E4C_AD04_0CCBD88738E3_.wvu.FilterData" localSheetId="0" hidden="1">загальне!$A$6:$J$284</definedName>
    <definedName name="Z_40F66B3F_B1A0_4660_B7EC_2C8F1BD66B34_.wvu.FilterData" localSheetId="0" hidden="1">загальне!$A$6:$J$330</definedName>
    <definedName name="Z_429899D9_5B00_46A4_8670_9042E5D6B3B9_.wvu.FilterData" localSheetId="0" hidden="1">загальне!$A$6:$J$330</definedName>
    <definedName name="Z_429AA136_6142_4A99_977B_8067300179C4_.wvu.FilterData" localSheetId="0" hidden="1">загальне!$A$6:$J$330</definedName>
    <definedName name="Z_43369FCC_2CCA_4665_99C7_275B440DE937_.wvu.FilterData" localSheetId="0" hidden="1">загальне!$A$6:$J$284</definedName>
    <definedName name="Z_452C56A1_7A56_4ADE_A5CF_E260228787E3_.wvu.FilterData" localSheetId="0" hidden="1">загальне!$A$4:$J$6</definedName>
    <definedName name="Z_452C56A1_7A56_4ADE_A5CF_E260228787E3_.wvu.PrintArea" localSheetId="0" hidden="1">загальне!$A$2:$J$269</definedName>
    <definedName name="Z_452C56A1_7A56_4ADE_A5CF_E260228787E3_.wvu.PrintTitles" localSheetId="0" hidden="1">загальне!$6:$6</definedName>
    <definedName name="Z_471079C8_6E8B_4088_8968_A7D0C5B8653D_.wvu.FilterData" localSheetId="0" hidden="1">загальне!$A$6:$J$432</definedName>
    <definedName name="Z_47250A82_9F08_48A3_99F5_B1354F557BF5_.wvu.FilterData" localSheetId="0" hidden="1">загальне!$A$6:$J$284</definedName>
    <definedName name="Z_48783A06_63D3_427A_A6E9_9592F9D916F6_.wvu.FilterData" localSheetId="0" hidden="1">загальне!$A$6:$J$284</definedName>
    <definedName name="Z_4910244A_FD97_43F8_8121_7A39DEE7F6C3_.wvu.FilterData" localSheetId="0" hidden="1">загальне!$A$6:$J$284</definedName>
    <definedName name="Z_495617EB_A9DC_44E1_A455_3D0079645590_.wvu.FilterData" localSheetId="0" hidden="1">загальне!$A$6:$J$330</definedName>
    <definedName name="Z_4BC9F541_1AEB_4DA7_A0F9_3F6DB8D4E82B_.wvu.FilterData" localSheetId="0" hidden="1">загальне!$A$6:$J$284</definedName>
    <definedName name="Z_4C9A721B_C5BE_4E52_A18E_0730E1D3B8FE_.wvu.FilterData" localSheetId="0" hidden="1">загальне!$A$6:$J$330</definedName>
    <definedName name="Z_4CD9C922_19B5_419E_BD84_E209894B16C0_.wvu.FilterData" localSheetId="0" hidden="1">загальне!$A$6:$J$330</definedName>
    <definedName name="Z_4EF5F217_FB2B_4DCF_85B0_3019877DD0D7_.wvu.FilterData" localSheetId="0" hidden="1">загальне!$A$6:$J$284</definedName>
    <definedName name="Z_5034BBC8_21D9_4269_8413_6C2CC06530C6_.wvu.FilterData" localSheetId="0" hidden="1">загальне!$A$6:$J$284</definedName>
    <definedName name="Z_505D733E_455F_46B4_ACCC_4F218E555D81_.wvu.FilterData" localSheetId="0" hidden="1">загальне!$A$6:$J$432</definedName>
    <definedName name="Z_5152B790_6528_48A7_ACFA_991FA35A233D_.wvu.FilterData" localSheetId="0" hidden="1">загальне!$A$6:$J$284</definedName>
    <definedName name="Z_527D5B17_7578_4A0E_8233_A8DD6DE458C2_.wvu.FilterData" localSheetId="0" hidden="1">загальне!$A$6:$J$330</definedName>
    <definedName name="Z_53234816_0120_4392_94AB_599CEA5C30B9_.wvu.FilterData" localSheetId="0" hidden="1">загальне!$A$6:$J$432</definedName>
    <definedName name="Z_5512C256_B576_4E26_8E01_289925B9D9C4_.wvu.FilterData" localSheetId="0" hidden="1">загальне!$A$4:$J$6</definedName>
    <definedName name="Z_561DE2D1_B0AE_4896_AA61_5926B88ED735_.wvu.FilterData" localSheetId="0" hidden="1">загальне!$A$6:$J$284</definedName>
    <definedName name="Z_56D07CA4_3A8F_4E57_990B_3A33D177FA23_.wvu.FilterData" localSheetId="0" hidden="1">загальне!$A$6:$J$284</definedName>
    <definedName name="Z_57216EB5_F285_4D3D_8804_F4C1447258E5_.wvu.FilterData" localSheetId="0" hidden="1">загальне!$A$6:$J$330</definedName>
    <definedName name="Z_5776AEEC_9913_4217_814D_400CFE679C3E_.wvu.FilterData" localSheetId="0" hidden="1">загальне!$A$6:$J$284</definedName>
    <definedName name="Z_59F9E859_7DBE_4B96_A969_63ADA1E07BFE_.wvu.FilterData" localSheetId="0" hidden="1">загальне!$A$6:$J$284</definedName>
    <definedName name="Z_5A17F74F_9F13_46B8_8433_8D22469D4185_.wvu.FilterData" localSheetId="0" hidden="1">загальне!$A$6:$J$432</definedName>
    <definedName name="Z_5D9BE3B7_C618_47DB_8F0E_D1DDB1705E6B_.wvu.FilterData" localSheetId="0" hidden="1">загальне!$A$4:$J$6</definedName>
    <definedName name="Z_5EEB5DC5_097B_47D6_81BA_F19E1000B57E_.wvu.FilterData" localSheetId="0" hidden="1">загальне!$A$6:$J$330</definedName>
    <definedName name="Z_5EEB5DC5_097B_47D6_81BA_F19E1000B57E_.wvu.PrintArea" localSheetId="0" hidden="1">загальне!$A$2:$J$269</definedName>
    <definedName name="Z_5EEB5DC5_097B_47D6_81BA_F19E1000B57E_.wvu.PrintTitles" localSheetId="0" hidden="1">загальне!$6:$6</definedName>
    <definedName name="Z_5F564DC4_F80E_44B3_9C12_EE313E4E872A_.wvu.FilterData" localSheetId="0" hidden="1">загальне!$A$6:$J$284</definedName>
    <definedName name="Z_60012CAC_965D_4CFC_93A4_5CCD711B12F0_.wvu.FilterData" localSheetId="0" hidden="1">загальне!$A$4:$J$6</definedName>
    <definedName name="Z_6149D971_6896_4099_83EB_61159C951281_.wvu.FilterData" localSheetId="0" hidden="1">загальне!$A$6:$J$330</definedName>
    <definedName name="Z_65CADE76_9E13_43BF_B11F_E308EC288263_.wvu.FilterData" localSheetId="0" hidden="1">загальне!$A$6:$J$330</definedName>
    <definedName name="Z_66A24AA4_A74D_49B7_A44D_9BC6D293F264_.wvu.FilterData" localSheetId="0" hidden="1">загальне!$A$6:$J$284</definedName>
    <definedName name="Z_675C859F_867B_4E3E_8283_3B2C94BFA5E5_.wvu.FilterData" localSheetId="0" hidden="1">загальне!$A$6:$CE$284</definedName>
    <definedName name="Z_67E15AF4_B3D4_4F28_BA3A_4297C918EDE6_.wvu.FilterData" localSheetId="0" hidden="1">загальне!$A$6:$J$284</definedName>
    <definedName name="Z_6869228E_626C_4ADE_A07E_9278820D1763_.wvu.FilterData" localSheetId="0" hidden="1">загальне!$A$6:$J$284</definedName>
    <definedName name="Z_68CBFC64_03A4_4F74_B34E_EE1DB915A668_.wvu.FilterData" localSheetId="0" hidden="1">загальне!$A$6:$CE$284</definedName>
    <definedName name="Z_6997FD04_8B9B_4179_939E_BCFCC889513E_.wvu.FilterData" localSheetId="0" hidden="1">загальне!$A$6:$J$284</definedName>
    <definedName name="Z_6A002B8B_DF15_47FE_8548_D0F88EB4EB77_.wvu.FilterData" localSheetId="0" hidden="1">загальне!$A$6:$J$284</definedName>
    <definedName name="Z_6AE5F3A0_C632_4594_A73E_9DFBAB3F48DD_.wvu.FilterData" localSheetId="0" hidden="1">загальне!$A$6:$J$284</definedName>
    <definedName name="Z_6B5F638D_DFD2_421F_8643_7691B33D7A3B_.wvu.FilterData" localSheetId="0" hidden="1">загальне!$A$6:$J$284</definedName>
    <definedName name="Z_6DB878EC_F0AA_4EE0_8DBD_0D2F2413D073_.wvu.FilterData" localSheetId="0" hidden="1">загальне!$A$6:$J$330</definedName>
    <definedName name="Z_6FCC1E26_8977_4950_8B87_CBE7C2A25ED8_.wvu.FilterData" localSheetId="0" hidden="1">загальне!$A$6:$J$284</definedName>
    <definedName name="Z_7012C998_533E_4EDC_995F_53A252D8A143_.wvu.FilterData" localSheetId="0" hidden="1">загальне!$A$6:$J$284</definedName>
    <definedName name="Z_713A662A_DFDD_43FB_A56E_1E210432D89D_.wvu.FilterData" localSheetId="0" hidden="1">загальне!$A$6:$J$284</definedName>
    <definedName name="Z_716F213C_8FDB_4E7E_934B_B03987478AAA_.wvu.FilterData" localSheetId="0" hidden="1">загальне!$A$6:$J$284</definedName>
    <definedName name="Z_72615B4A_0666_48DC_B3A0_332799C5347B_.wvu.FilterData" localSheetId="0" hidden="1">загальне!$A$4:$J$6</definedName>
    <definedName name="Z_72EDDA2C_BFF2_4D48_A13B_2B9C46213374_.wvu.FilterData" localSheetId="0" hidden="1">загальне!$A$6:$J$330</definedName>
    <definedName name="Z_743F23AC_8B5C_40B6_9ADD_B2B54B0B36A7_.wvu.FilterData" localSheetId="0" hidden="1">загальне!$A$6:$J$330</definedName>
    <definedName name="Z_746B9BA0_2CAB_416E_B194_EC52DB1EC742_.wvu.FilterData" localSheetId="0" hidden="1">загальне!$A$6:$J$330</definedName>
    <definedName name="Z_75E84732_9FC3_47C0_BD57_11CF3E1677E6_.wvu.FilterData" localSheetId="0" hidden="1">загальне!$A$6:$CE$284</definedName>
    <definedName name="Z_768BA9CF_2122_41A7_8903_ECE3A54B69F8_.wvu.FilterData" localSheetId="0" hidden="1">загальне!$A$6:$J$432</definedName>
    <definedName name="Z_77F98A1B_622E_4E1C_99A9_236FFCAA0B34_.wvu.FilterData" localSheetId="0" hidden="1">загальне!$A$6:$J$284</definedName>
    <definedName name="Z_78D70EA8_5249_4DAA_AE4A_2D8FFFD697D9_.wvu.FilterData" localSheetId="0" hidden="1">загальне!$A$6:$J$330</definedName>
    <definedName name="Z_795D5ECF_BF90_4F3E_A74E_B1A55C8421F2_.wvu.FilterData" localSheetId="0" hidden="1">загальне!$A$6:$J$330</definedName>
    <definedName name="Z_7A2B4F7E_E736_4CE4_ACAF_AB2E1CDC2BED_.wvu.FilterData" localSheetId="0" hidden="1">загальне!$A$6:$J$284</definedName>
    <definedName name="Z_7A936B14_3168_4319_80EC_9AB0E1E51913_.wvu.FilterData" localSheetId="0" hidden="1">загальне!$A$6:$J$330</definedName>
    <definedName name="Z_7C69758B_CDC9_4874_B714_8DA98D7197DD_.wvu.FilterData" localSheetId="0" hidden="1">загальне!$A$6:$J$330</definedName>
    <definedName name="Z_7C74E095_428E_48E8_A71D_0600250A46E8_.wvu.FilterData" localSheetId="0" hidden="1">загальне!$A$6:$J$284</definedName>
    <definedName name="Z_7E5CD23C_5346_4E9D_BFA0_035B6BA3097B_.wvu.FilterData" localSheetId="0" hidden="1">загальне!$A$6:$J$284</definedName>
    <definedName name="Z_7E83462C_2646_43F5_BA25_2D4B100EBEB1_.wvu.FilterData" localSheetId="0" hidden="1">загальне!$A$6:$J$284</definedName>
    <definedName name="Z_7EDDA008_F905_436E_A980_951BDACDA577_.wvu.FilterData" localSheetId="0" hidden="1">загальне!$A$4:$J$6</definedName>
    <definedName name="Z_7F2FA179_7E75_4D04_9C08_383F9EAE36E4_.wvu.FilterData" localSheetId="0" hidden="1">загальне!$A$6:$J$330</definedName>
    <definedName name="Z_7F311C52_3815_4334_BC86_EFE1D9CF838D_.wvu.FilterData" localSheetId="0" hidden="1">загальне!$A$6:$J$283</definedName>
    <definedName name="Z_81AB0083_9AC8_46E5_8989_3683179BE2CD_.wvu.FilterData" localSheetId="0" hidden="1">загальне!$A$6:$J$284</definedName>
    <definedName name="Z_82778C3B_E039_40FB_9D6E_6C955809D3AF_.wvu.FilterData" localSheetId="0" hidden="1">загальне!$A$6:$J$330</definedName>
    <definedName name="Z_82F7123C_C030_4534_8B46_822C4EBC62EC_.wvu.FilterData" localSheetId="0" hidden="1">загальне!$A$6:$J$432</definedName>
    <definedName name="Z_82F7E495_211B_4D53_B382_DE1C7FAF3376_.wvu.FilterData" localSheetId="0" hidden="1">загальне!$A$6:$J$432</definedName>
    <definedName name="Z_84291F06_C171_4BC3_846A_5B29D7A14C1B_.wvu.FilterData" localSheetId="0" hidden="1">загальне!$A$6:$J$284</definedName>
    <definedName name="Z_84AB9039_6109_4932_AA14_522BD4A30F0B_.wvu.FilterData" localSheetId="0" hidden="1">загальне!$A$6:$CE$284</definedName>
    <definedName name="Z_85BFB728_94F1_4323_ACC8_9456F845AE11_.wvu.FilterData" localSheetId="0" hidden="1">загальне!$A$6:$J$330</definedName>
    <definedName name="Z_85CA5D27_9304_4004_A8E8_6687AFFCC00A_.wvu.FilterData" localSheetId="0" hidden="1">загальне!$A$6:$J$284</definedName>
    <definedName name="Z_868786DC_4C96_45F5_A272_3E03D4B934A0_.wvu.FilterData" localSheetId="0" hidden="1">загальне!$A$6:$J$432</definedName>
    <definedName name="Z_8712F0EA_8AFD_45F0_99A0_31E181367C18_.wvu.FilterData" localSheetId="0" hidden="1">загальне!$A$4:$J$6</definedName>
    <definedName name="Z_87307EED_7277_4B82_83B9_FD6EFB33210A_.wvu.FilterData" localSheetId="0" hidden="1">загальне!$A$6:$J$330</definedName>
    <definedName name="Z_87B11953_FBBE_4422_B331_7A1407FEF2C2_.wvu.FilterData" localSheetId="0" hidden="1">загальне!$A$6:$J$284</definedName>
    <definedName name="Z_8AD8908B_5409_470D_AEE7_01A535707576_.wvu.FilterData" localSheetId="0" hidden="1">загальне!$A$6:$J$284</definedName>
    <definedName name="Z_8AF3FC9C_0EA5_4F5D_9117_5F59A40F6C1D_.wvu.FilterData" localSheetId="0" hidden="1">загальне!$A$6:$J$284</definedName>
    <definedName name="Z_8BA1F70D_2590_40B0_8F4D_CC37D4F962D2_.wvu.FilterData" localSheetId="0" hidden="1">загальне!$A$6:$J$330</definedName>
    <definedName name="Z_8D2A8B7C_AD65_4D27_81C5_03D90CCE10D6_.wvu.FilterData" localSheetId="0" hidden="1">загальне!$A$6:$CE$284</definedName>
    <definedName name="Z_8DA01475_C6A0_4A19_B7EB_B1C704431492_.wvu.FilterData" localSheetId="0" hidden="1">загальне!$A$6:$J$284</definedName>
    <definedName name="Z_8E60DEEE_B29D_4EEA_B25A_DB1975B13507_.wvu.FilterData" localSheetId="0" hidden="1">загальне!$A$6:$J$432</definedName>
    <definedName name="Z_8F5BBF1A_FC79_4BB3_97F0_50B619130E26_.wvu.FilterData" localSheetId="0" hidden="1">загальне!$A$6:$J$284</definedName>
    <definedName name="Z_8FB1E024_9866_4CAD_B900_0CCFEA27B234_.wvu.FilterData" localSheetId="0" hidden="1">загальне!$A$6:$J$284</definedName>
    <definedName name="Z_8FB1E024_9866_4CAD_B900_0CCFEA27B234_.wvu.PrintArea" localSheetId="0" hidden="1">загальне!$A$2:$J$269</definedName>
    <definedName name="Z_8FB1E024_9866_4CAD_B900_0CCFEA27B234_.wvu.PrintTitles" localSheetId="0" hidden="1">загальне!$6:$6</definedName>
    <definedName name="Z_90104242_D578_485A_91E2_ACB42B11755F_.wvu.FilterData" localSheetId="0" hidden="1">загальне!$A$6:$J$330</definedName>
    <definedName name="Z_90518B97_7307_4173_A97E_975285B914B1_.wvu.FilterData" localSheetId="0" hidden="1">загальне!$A$6:$J$284</definedName>
    <definedName name="Z_925CFE27_E1C6_48F7_AA2E_4E47C240CFE1_.wvu.FilterData" localSheetId="0" hidden="1">загальне!$A$6:$J$284</definedName>
    <definedName name="Z_93443DB4_16CC_4115_8132_074F13427393_.wvu.FilterData" localSheetId="0" hidden="1">загальне!$A$6:$J$283</definedName>
    <definedName name="Z_93A13551_3E8E_4065_89A7_310AA9E7AE54_.wvu.FilterData" localSheetId="0" hidden="1">загальне!$A$6:$J$330</definedName>
    <definedName name="Z_94F9C593_9DE2_4EC4_AFA3_39D38CF2BB33_.wvu.FilterData" localSheetId="0" hidden="1">загальне!$A$6:$J$283</definedName>
    <definedName name="Z_95A7493F_2B11_406A_BB91_458FD9DC3BAE_.wvu.FilterData" localSheetId="0" hidden="1">загальне!$A$6:$CE$284</definedName>
    <definedName name="Z_95A7493F_2B11_406A_BB91_458FD9DC3BAE_.wvu.PrintArea" localSheetId="0" hidden="1">загальне!$A$2:$J$269</definedName>
    <definedName name="Z_95A7493F_2B11_406A_BB91_458FD9DC3BAE_.wvu.PrintTitles" localSheetId="0" hidden="1">загальне!$6:$6</definedName>
    <definedName name="Z_966D3932_E429_4C59_AC55_697D9EEA620A_.wvu.FilterData" localSheetId="0" hidden="1">загальне!$A$6:$AE$284</definedName>
    <definedName name="Z_966D3932_E429_4C59_AC55_697D9EEA620A_.wvu.PrintArea" localSheetId="0" hidden="1">загальне!$A$1:$J$283</definedName>
    <definedName name="Z_966D3932_E429_4C59_AC55_697D9EEA620A_.wvu.PrintTitles" localSheetId="0" hidden="1">загальне!$6:$6</definedName>
    <definedName name="Z_967F1A8A_48DD_4277_A863_3849576B72D0_.wvu.FilterData" localSheetId="0" hidden="1">загальне!$A$6:$J$284</definedName>
    <definedName name="Z_982FB0F3_EEED_4A35_8AE0_8012B631E660_.wvu.FilterData" localSheetId="0" hidden="1">загальне!$A$6:$J$284</definedName>
    <definedName name="Z_998E5F34_5F22_456C_AF6B_44B849DA5E75_.wvu.FilterData" localSheetId="0" hidden="1">загальне!$A$6:$J$283</definedName>
    <definedName name="Z_9BFA17BE_4413_48EA_8DFA_9D7972E1D966_.wvu.FilterData" localSheetId="0" hidden="1">загальне!$A$6:$J$284</definedName>
    <definedName name="Z_9D5BFF78_E3BA_4BCB_AD42_B369D1A6F27F_.wvu.FilterData" localSheetId="0" hidden="1">загальне!$A$6:$J$284</definedName>
    <definedName name="Z_9DB42EA6_6F33_4055_AFFC_2CB330A83BF6_.wvu.FilterData" localSheetId="0" hidden="1">загальне!$A$6:$J$283</definedName>
    <definedName name="Z_9E613866_5B9C_47D7_AFA4_58928D3C6E62_.wvu.FilterData" localSheetId="0" hidden="1">загальне!$A$6:$J$284</definedName>
    <definedName name="Z_9EB09BA5_1A06_464B_9D4E_3EF1374F6659_.wvu.FilterData" localSheetId="0" hidden="1">загальне!$A$6:$J$283</definedName>
    <definedName name="Z_9F241BF9_3E2B_4BDD_B26A_F89F327E72C3_.wvu.FilterData" localSheetId="0" hidden="1">загальне!$A$6:$J$284</definedName>
    <definedName name="Z_9FE2B88C_FF56_4DEE_8B84_1ADFBBB1D084_.wvu.FilterData" localSheetId="0" hidden="1">загальне!$A$6:$J$432</definedName>
    <definedName name="Z_A274E916_0616_4798_8975_3911D43C14F5_.wvu.FilterData" localSheetId="0" hidden="1">загальне!$A$6:$J$330</definedName>
    <definedName name="Z_A2AC5481_37D4_4229_BD4F_7BED984BFF61_.wvu.FilterData" localSheetId="0" hidden="1">загальне!$A$6:$J$284</definedName>
    <definedName name="Z_A330E7CE_1B63_4807_AC38_5251AE03B568_.wvu.FilterData" localSheetId="0" hidden="1">загальне!$A$6:$J$432</definedName>
    <definedName name="Z_A5BD67D1_5F1C_472E_9385_9177CF38402F_.wvu.FilterData" localSheetId="0" hidden="1">загальне!$A$6:$J$284</definedName>
    <definedName name="Z_A600D8D5_C13F_49F2_9D2C_FC8EA32AC551_.wvu.FilterData" localSheetId="0" hidden="1">загальне!$A$6:$J$432</definedName>
    <definedName name="Z_A600D8D5_C13F_49F2_9D2C_FC8EA32AC551_.wvu.PrintTitles" localSheetId="0" hidden="1">загальне!$6:$6</definedName>
    <definedName name="Z_A75085A3_4AC1_49B5_8DC1_19942A878723_.wvu.FilterData" localSheetId="0" hidden="1">загальне!$A$6:$J$330</definedName>
    <definedName name="Z_A7A42B55_9F6C_4A34_BF88_539458839798_.wvu.FilterData" localSheetId="0" hidden="1">загальне!$A$6:$J$284</definedName>
    <definedName name="Z_A9CB6613_36BA_46BF_9FA8_AEAB37393612_.wvu.FilterData" localSheetId="0" hidden="1">загальне!$A$6:$J$284</definedName>
    <definedName name="Z_AA3BE0DE_1363_4DDA_934E_FD9CAE988533_.wvu.FilterData" localSheetId="0" hidden="1">загальне!$A$6:$J$330</definedName>
    <definedName name="Z_AA5DB17E_D4B9_49C8_96A5_D22053C6C5B1_.wvu.FilterData" localSheetId="0" hidden="1">загальне!$A$6:$J$284</definedName>
    <definedName name="Z_ACBA7AB7_E5BF_4817_ACF6_DA5FB388AD46_.wvu.FilterData" localSheetId="0" hidden="1">загальне!$A$6:$J$330</definedName>
    <definedName name="Z_AEA5B2EA_8CD5_4D16_87DA_0C74224B0E36_.wvu.FilterData" localSheetId="0" hidden="1">загальне!$A$6:$J$284</definedName>
    <definedName name="Z_AEABEE2C_6038_47D9_81A7_15110E43218C_.wvu.FilterData" localSheetId="0" hidden="1">загальне!$A$6:$J$330</definedName>
    <definedName name="Z_AF878C17_3B2C_48A3_9BE9_929E49BFE12F_.wvu.FilterData" localSheetId="0" hidden="1">загальне!$A$6:$J$284</definedName>
    <definedName name="Z_AFA1F171_D315_47F1_98EA_0E2E30F4BAC6_.wvu.FilterData" localSheetId="0" hidden="1">загальне!$A$6:$CE$284</definedName>
    <definedName name="Z_B09841F2_D07A_4B31_A395_000C1A63FF41_.wvu.FilterData" localSheetId="0" hidden="1">загальне!$A$6:$J$284</definedName>
    <definedName name="Z_B09841F2_D07A_4B31_A395_000C1A63FF41_.wvu.PrintArea" localSheetId="0" hidden="1">загальне!$A$2:$J$269</definedName>
    <definedName name="Z_B09841F2_D07A_4B31_A395_000C1A63FF41_.wvu.PrintTitles" localSheetId="0" hidden="1">загальне!$6:$6</definedName>
    <definedName name="Z_B0CF427B_E64B_46A6_97A4_9B49090FE4BE_.wvu.FilterData" localSheetId="0" hidden="1">загальне!$A$6:$J$330</definedName>
    <definedName name="Z_B0D300EE_CE3D_4267_8F4B_3D65D54915E1_.wvu.FilterData" localSheetId="0" hidden="1">загальне!$A$6:$J$284</definedName>
    <definedName name="Z_B2319D0F_B5B7_4B85_B31D_3FEB7916998F_.wvu.FilterData" localSheetId="0" hidden="1">загальне!$A$6:$J$432</definedName>
    <definedName name="Z_B31E6874_4FC0_47ED_8042_8593070B2CD6_.wvu.FilterData" localSheetId="0" hidden="1">загальне!$A$6:$J$284</definedName>
    <definedName name="Z_B4997D58_BD25_4440_9383_3C887D277BCF_.wvu.FilterData" localSheetId="0" hidden="1">загальне!$A$6:$J$330</definedName>
    <definedName name="Z_B54E984C_CDE9_4AD4_B151_3C9A831387F7_.wvu.FilterData" localSheetId="0" hidden="1">загальне!$A$6:$CE$284</definedName>
    <definedName name="Z_B55746B5_6CDF_443B_8C7F_8F8A1DC5562E_.wvu.FilterData" localSheetId="0" hidden="1">загальне!$A$6:$J$432</definedName>
    <definedName name="Z_B607774B_B68E_4DBE_B4D4_274DD101B3B3_.wvu.FilterData" localSheetId="0" hidden="1">загальне!$A$4:$J$6</definedName>
    <definedName name="Z_B637BC8F_E49F_4D36_BA7E_87587BAEF462_.wvu.FilterData" localSheetId="0" hidden="1">загальне!$A$6:$J$330</definedName>
    <definedName name="Z_B8AC68F9_618C_4990_B101_9BD7FB1FCD22_.wvu.FilterData" localSheetId="0" hidden="1">загальне!$A$4:$J$6</definedName>
    <definedName name="Z_B9D2896B_3D46_4E80_A333_D35EE8923B5F_.wvu.FilterData" localSheetId="0" hidden="1">загальне!$A$6:$J$284</definedName>
    <definedName name="Z_BA1D743D_8CD7_4C01_B0E4_1729D2189C73_.wvu.FilterData" localSheetId="0" hidden="1">загальне!$A$6:$J$284</definedName>
    <definedName name="Z_BB4DF29A_3635_4350_9E09_BBEF363FC239_.wvu.FilterData" localSheetId="0" hidden="1">загальне!$A$4:$J$6</definedName>
    <definedName name="Z_BC4BF63E_98F8_4CE0_B0DE_A2A71C291EFE_.wvu.FilterData" localSheetId="0" hidden="1">загальне!$A$6:$CE$284</definedName>
    <definedName name="Z_BC735923_D0EA_47FD_9B99_A44B26AB32B8_.wvu.FilterData" localSheetId="0" hidden="1">загальне!$A$6:$J$284</definedName>
    <definedName name="Z_BE1C4A44_01B5_4ECE_8D55_C71095D37032_.wvu.FilterData" localSheetId="0" hidden="1">загальне!$A$6:$J$284</definedName>
    <definedName name="Z_BED4F540_47A7_459B_8414_21EF84302EA3_.wvu.FilterData" localSheetId="0" hidden="1">загальне!$A$6:$J$330</definedName>
    <definedName name="Z_BF36043A_AFA1_4ED6_B54F_F4173C55E31C_.wvu.FilterData" localSheetId="0" hidden="1">загальне!$A$6:$J$330</definedName>
    <definedName name="Z_BF57B08F_2B48_4EE9_9ADD_06D6906608C1_.wvu.FilterData" localSheetId="0" hidden="1">загальне!$A$6:$J$432</definedName>
    <definedName name="Z_BFC3CBD4_C5BA_4A56_906C_565ED71D320D_.wvu.FilterData" localSheetId="0" hidden="1">загальне!$A$6:$J$284</definedName>
    <definedName name="Z_C105019C_D493_4AF2_B08B_98003C4FEF9B_.wvu.FilterData" localSheetId="0" hidden="1">загальне!$A$6:$J$330</definedName>
    <definedName name="Z_C172C42A_B6A9_490D_905B_14F6BA2DCBCA_.wvu.FilterData" localSheetId="0" hidden="1">загальне!$A$6:$J$284</definedName>
    <definedName name="Z_C32A6808_4BDA_43E4_ACD1_1B0FCC0DA219_.wvu.FilterData" localSheetId="0" hidden="1">загальне!$A$6:$J$330</definedName>
    <definedName name="Z_C343756C_7EBC_41EB_89B6_11C31F46AD7D_.wvu.FilterData" localSheetId="0" hidden="1">загальне!$A$6:$J$330</definedName>
    <definedName name="Z_C4185438_74E2_4EE2_8A94_BE1F1EE5C2A4_.wvu.FilterData" localSheetId="0" hidden="1">загальне!$A$6:$J$284</definedName>
    <definedName name="Z_C4269454_1D3D_4937_A7DB_6BFDB690E1BF_.wvu.FilterData" localSheetId="0" hidden="1">загальне!$A$6:$J$330</definedName>
    <definedName name="Z_C4A91C4C_4FDF_4528_B780_BABD8261F89B_.wvu.FilterData" localSheetId="0" hidden="1">загальне!$A$6:$J$283</definedName>
    <definedName name="Z_C553E94D_7349_4BE2_B36E_269E78EC733A_.wvu.FilterData" localSheetId="0" hidden="1">загальне!$A$6:$CE$284</definedName>
    <definedName name="Z_C5AC499E_0359_4E1F_94CE_578AF2A54734_.wvu.FilterData" localSheetId="0" hidden="1">загальне!$A$6:$J$432</definedName>
    <definedName name="Z_C5DD2CEF_6DC9_42B9_B991_658B57CBD712_.wvu.FilterData" localSheetId="0" hidden="1">загальне!$A$6:$J$432</definedName>
    <definedName name="Z_C7FD81BD_691B_4A89_96A0_CDABC50081E4_.wvu.FilterData" localSheetId="0" hidden="1">загальне!$A$6:$J$330</definedName>
    <definedName name="Z_C8489D43_32B9_4349_973B_9C94F0536721_.wvu.FilterData" localSheetId="0" hidden="1">загальне!$A$6:$J$432</definedName>
    <definedName name="Z_C920DB58_DB5D_4286_8169_C2AA2ED89A9A_.wvu.FilterData" localSheetId="0" hidden="1">загальне!$A$6:$J$284</definedName>
    <definedName name="Z_CA8983D9_E565_4991_B76C_F6D76E63663C_.wvu.FilterData" localSheetId="0" hidden="1">загальне!$A$6:$J$284</definedName>
    <definedName name="Z_CC0A6F72_A956_4FF0_A9CF_B2F133844683_.wvu.FilterData" localSheetId="0" hidden="1">загальне!$A$6:$J$330</definedName>
    <definedName name="Z_CF069AD8_C6E4_40EE_85C1_CD44D38BC77F_.wvu.FilterData" localSheetId="0" hidden="1">загальне!$A$6:$J$283</definedName>
    <definedName name="Z_CF1EFC15_1276_44E9_B8E0_6069FE1FC094_.wvu.FilterData" localSheetId="0" hidden="1">загальне!$A$6:$J$330</definedName>
    <definedName name="Z_CFB0A04F_563D_4D2B_BCD3_ACFCDC70E584_.wvu.FilterData" localSheetId="0" hidden="1">загальне!$A$6:$CE$284</definedName>
    <definedName name="Z_CFB0A04F_563D_4D2B_BCD3_ACFCDC70E584_.wvu.Rows" localSheetId="0" hidden="1">загальне!$7:$120,загальне!$122:$129</definedName>
    <definedName name="Z_CFD58EC5_F475_4F0C_8822_861C497EA100_.wvu.FilterData" localSheetId="0" hidden="1">загальне!$A$6:$CE$284</definedName>
    <definedName name="Z_CFD58EC5_F475_4F0C_8822_861C497EA100_.wvu.PrintArea" localSheetId="0" hidden="1">загальне!$A$1:$J$284</definedName>
    <definedName name="Z_CFD58EC5_F475_4F0C_8822_861C497EA100_.wvu.PrintTitles" localSheetId="0" hidden="1">загальне!$6:$6</definedName>
    <definedName name="Z_D0621073_25BE_47D7_AC33_51146458D41C_.wvu.FilterData" localSheetId="0" hidden="1">загальне!$A$6:$J$284</definedName>
    <definedName name="Z_D10FBD64_4601_40D8_BA69_F0EA6D3ED846_.wvu.FilterData" localSheetId="0" hidden="1">загальне!$A$6:$J$284</definedName>
    <definedName name="Z_D14B1F1D_6F0E_49B1_92FB_6E5D79228E22_.wvu.FilterData" localSheetId="0" hidden="1">загальне!$A$6:$J$330</definedName>
    <definedName name="Z_D196F711_2A18_4840_9CDF_97770F3C341D_.wvu.FilterData" localSheetId="0" hidden="1">загальне!$A$6:$J$284</definedName>
    <definedName name="Z_D3BF9972_335A_4BF6_985A_3FAFB12859F0_.wvu.FilterData" localSheetId="0" hidden="1">загальне!$A$6:$J$284</definedName>
    <definedName name="Z_D3FC038B_D1F5_4CDD_BF89_B0BF2773CD42_.wvu.FilterData" localSheetId="0" hidden="1">загальне!$A$4:$J$6</definedName>
    <definedName name="Z_D4E8D1A3_1CF7_4E9F_8E3E_76E99A013BCC_.wvu.FilterData" localSheetId="0" hidden="1">загальне!$A$6:$J$330</definedName>
    <definedName name="Z_D5681C61_0984_4C5B_9D67_8EE316AD015C_.wvu.FilterData" localSheetId="0" hidden="1">загальне!$A$6:$J$330</definedName>
    <definedName name="Z_D64EF95C_79C4_46AC_AC41_4006BE2579BA_.wvu.FilterData" localSheetId="0" hidden="1">загальне!$A$6:$J$330</definedName>
    <definedName name="Z_D6C9B499_8D30_4283_AE2A_B58ABDEBA548_.wvu.FilterData" localSheetId="0" hidden="1">загальне!$A$6:$J$432</definedName>
    <definedName name="Z_D99C893A_0D9F_4F69_B1E5_4BCEB72F4291_.wvu.FilterData" localSheetId="0" hidden="1">загальне!$A$4:$J$6</definedName>
    <definedName name="Z_DB07A5FC_986D_4926_8060_C6D85FB8BA34_.wvu.FilterData" localSheetId="0" hidden="1">загальне!$A$6:$CE$284</definedName>
    <definedName name="Z_DB146771_765B_4EDB_AC76_D56707AD72CF_.wvu.FilterData" localSheetId="0" hidden="1">загальне!$A$6:$J$330</definedName>
    <definedName name="Z_DBF8F6A4_7388_4C5F_8609_AD47282385A6_.wvu.FilterData" localSheetId="0" hidden="1">загальне!$A$6:$J$432</definedName>
    <definedName name="Z_DE0623D9_75DF_4C41_AF3E_5381C2A8629F_.wvu.FilterData" localSheetId="0" hidden="1">загальне!$A$6:$J$330</definedName>
    <definedName name="Z_DE2034B5_D274_41CF_AE24_6339ACF79613_.wvu.FilterData" localSheetId="0" hidden="1">загальне!$A$6:$J$284</definedName>
    <definedName name="Z_DEE728ED_1133_4DAB_BC02_158A35CECBC6_.wvu.FilterData" localSheetId="0" hidden="1">загальне!$A$6:$J$284</definedName>
    <definedName name="Z_DFF3F719_2855_42BC_ACEB_8441420613B1_.wvu.FilterData" localSheetId="0" hidden="1">загальне!$A$6:$J$284</definedName>
    <definedName name="Z_E147D13D_D04D_431E_888C_5A9AE670FC44_.wvu.FilterData" localSheetId="0" hidden="1">загальне!$A$4:$J$6</definedName>
    <definedName name="Z_E147D13D_D04D_431E_888C_5A9AE670FC44_.wvu.PrintTitles" localSheetId="0" hidden="1">загальне!$6:$6</definedName>
    <definedName name="Z_E1663454_FD8A_4EB7_8B04_ADE04D736B77_.wvu.FilterData" localSheetId="0" hidden="1">загальне!$A$6:$J$330</definedName>
    <definedName name="Z_E3334516_B3FD_45B9_AB64_DFED61082F84_.wvu.FilterData" localSheetId="0" hidden="1">загальне!$A$6:$J$330</definedName>
    <definedName name="Z_E3983C1A_AB41_491B_B4D8_ECB97796B009_.wvu.FilterData" localSheetId="0" hidden="1">загальне!$A$6:$J$330</definedName>
    <definedName name="Z_E418290D_2076_47BD_8438_6673CF24E35A_.wvu.FilterData" localSheetId="0" hidden="1">загальне!$A$6:$J$330</definedName>
    <definedName name="Z_E5D536E5_5DE3_4FEC_A98C_B3FAAD77758C_.wvu.FilterData" localSheetId="0" hidden="1">загальне!$A$6:$CE$284</definedName>
    <definedName name="Z_EA8E6D18_68D7_4389_88CB_3C3027AB668A_.wvu.FilterData" localSheetId="0" hidden="1">загальне!$A$6:$J$432</definedName>
    <definedName name="Z_ED5AC437_1F65_441E_BBEA_F88D9FEA1BA8_.wvu.FilterData" localSheetId="0" hidden="1">загальне!$A$6:$J$284</definedName>
    <definedName name="Z_EE3611DB_BB9A_42C8_98CA_2B323AB8FB7B_.wvu.FilterData" localSheetId="0" hidden="1">загальне!$A$6:$J$330</definedName>
    <definedName name="Z_EF32CA8F_131B_41F0_AA31_167807ADE2D4_.wvu.FilterData" localSheetId="0" hidden="1">загальне!$A$6:$CE$284</definedName>
    <definedName name="Z_EFD63851_2976_4987_8539_F3FE3A991088_.wvu.FilterData" localSheetId="0" hidden="1">загальне!$A$6:$J$330</definedName>
    <definedName name="Z_F06ACB63_A424_47E0_8092_CCE891CCD225_.wvu.FilterData" localSheetId="0" hidden="1">загальне!$A$4:$J$6</definedName>
    <definedName name="Z_F09B8F21_CFBA_4144_8BE7_F13B0A684312_.wvu.FilterData" localSheetId="0" hidden="1">загальне!$A$6:$J$284</definedName>
    <definedName name="Z_F14D494F_E5E8_4E8F_99A5_E5D0EE7C4CD1_.wvu.FilterData" localSheetId="0" hidden="1">загальне!$A$6:$J$284</definedName>
    <definedName name="Z_F35C19AC_1AD8_4B98_9E5C_812DA7490AFD_.wvu.FilterData" localSheetId="0" hidden="1">загальне!$A$6:$J$284</definedName>
    <definedName name="Z_F5149A81_C534_4D57_8E28_ACCC96AC9AC3_.wvu.FilterData" localSheetId="0" hidden="1">загальне!$A$6:$J$330</definedName>
    <definedName name="Z_F5211A6A_EE37_46DC_9C2C_FBE0CAB7604C_.wvu.FilterData" localSheetId="0" hidden="1">загальне!$A$4:$J$6</definedName>
    <definedName name="Z_F63B9AFD_D8B0_4F8C_A0C2_8214DCA948D7_.wvu.FilterData" localSheetId="0" hidden="1">загальне!$A$6:$J$284</definedName>
    <definedName name="Z_F6991520_2C3B_4C21_9197_8515F05E79C7_.wvu.FilterData" localSheetId="0" hidden="1">загальне!$A$6:$J$330</definedName>
    <definedName name="Z_F73173ED_9D02_4835_8031_F71A7D33ECA6_.wvu.FilterData" localSheetId="0" hidden="1">загальне!$A$6:$J$432</definedName>
    <definedName name="Z_F9324F9E_6E0D_484A_B1A6_F87CCAA93894_.wvu.FilterData" localSheetId="0" hidden="1">загальне!$A$6:$J$284</definedName>
    <definedName name="Z_F9544812_EB32_433B_BB14_D909670E9E5D_.wvu.FilterData" localSheetId="0" hidden="1">загальне!$A$6:$J$284</definedName>
    <definedName name="Z_F9CD2061_D224_494A_B06D_1C81E6930B04_.wvu.FilterData" localSheetId="0" hidden="1">загальне!$A$6:$J$283</definedName>
    <definedName name="Z_F9D2B861_A6DF_4E58_9205_20667B07345D_.wvu.FilterData" localSheetId="0" hidden="1">загальне!$A$6:$J$330</definedName>
    <definedName name="Z_FA039D92_C83F_438E_BA9D_917452CA1B7F_.wvu.FilterData" localSheetId="0" hidden="1">загальне!$A$6:$J$284</definedName>
    <definedName name="Z_FDA91638_7DD6_48C3_8AC3_AA44420F30D7_.wvu.FilterData" localSheetId="0" hidden="1">загальне!$A$6:$J$284</definedName>
    <definedName name="Z_FF1C8053_6325_4562_BDE7_81A6D9BCDD2B_.wvu.FilterData" localSheetId="0" hidden="1">загальне!$A$6:$J$283</definedName>
    <definedName name="Z_FF9353E4_7543_4700_982C_B41C9ACB3ADF_.wvu.FilterData" localSheetId="0" hidden="1">загальне!$A$6:$J$284</definedName>
    <definedName name="Z_FFB47FFE_A5E4_419A_BD39_DDC70DF4F5D4_.wvu.FilterData" localSheetId="0" hidden="1">загальне!$A$6:$J$284</definedName>
    <definedName name="_xlnm.Print_Titles" localSheetId="0">загальне!$6:$6</definedName>
    <definedName name="_xlnm.Print_Area" localSheetId="0">загальне!$A$1:$J$284</definedName>
  </definedNames>
  <calcPr calcId="181029"/>
  <customWorkbookViews>
    <customWorkbookView name="User416a - Личное представление" guid="{CFD58EC5-F475-4F0C-8822-861C497EA100}" mergeInterval="0" personalView="1" maximized="1" xWindow="1" yWindow="1" windowWidth="1901" windowHeight="827" activeSheetId="1" showComments="commIndAndComment"/>
    <customWorkbookView name="User_569 - Личное представление" guid="{68CBFC64-03A4-4F74-B34E-EE1DB915A668}" mergeInterval="0" personalView="1" maximized="1" xWindow="1" yWindow="1" windowWidth="1904" windowHeight="837" activeSheetId="1"/>
    <customWorkbookView name="User459c - Личное представление" guid="{84AB9039-6109-4932-AA14-522BD4A30F0B}" mergeInterval="0" personalView="1" maximized="1" xWindow="1" yWindow="1" windowWidth="1920" windowHeight="802" activeSheetId="1"/>
    <customWorkbookView name="User563c - Личное представление" guid="{675C859F-867B-4E3E-8283-3B2C94BFA5E5}" mergeInterval="0" personalView="1" maximized="1" xWindow="1" yWindow="1" windowWidth="1920" windowHeight="802" activeSheetId="1"/>
    <customWorkbookView name="User465e - Личное представление" guid="{2C18B72E-FABC-405E-9989-871873679CB9}" mergeInterval="0" personalView="1" maximized="1" xWindow="1" yWindow="1" windowWidth="1920" windowHeight="850" activeSheetId="1"/>
    <customWorkbookView name="User569c - Личное представление" guid="{BC4BF63E-98F8-4CE0-B0DE-A2A71C291EFE}" mergeInterval="0" personalView="1" maximized="1" xWindow="-8" yWindow="-8" windowWidth="1936" windowHeight="1056" activeSheetId="1"/>
    <customWorkbookView name="user457c - Личное представление" guid="{221AFC77-C97B-4D44-8163-7AA758A08BF9}" mergeInterval="0" personalView="1" maximized="1" xWindow="1" yWindow="1" windowWidth="1470" windowHeight="557" activeSheetId="1"/>
    <customWorkbookView name="user459a - Личное представление" guid="{8DA01475-C6A0-4A19-B7EB-B1C704431492}" mergeInterval="0" personalView="1" maximized="1" xWindow="1" yWindow="1" windowWidth="1904" windowHeight="838" activeSheetId="1"/>
    <customWorkbookView name="user459b - Личное представление" guid="{FA039D92-C83F-438E-BA9D-917452CA1B7F}" mergeInterval="0" personalView="1" maximized="1" xWindow="1" yWindow="1" windowWidth="1920" windowHeight="850" activeSheetId="1"/>
    <customWorkbookView name="Яна - Личное представление" guid="{9BFA17BE-4413-48EA-8DFA-9D7972E1D966}" mergeInterval="0" personalView="1" maximized="1" xWindow="1" yWindow="1" windowWidth="1920" windowHeight="850" activeSheetId="1"/>
    <customWorkbookView name="Танечка - Личное представление" guid="{BE1C4A44-01B5-4ECE-8D55-C71095D37032}" mergeInterval="0" personalView="1" maximized="1" xWindow="1" yWindow="1" windowWidth="1920" windowHeight="850" activeSheetId="1"/>
    <customWorkbookView name="User569a - Личное представление" guid="{8FB1E024-9866-4CAD-B900-0CCFEA27B234}" mergeInterval="0" personalView="1" maximized="1" xWindow="1" yWindow="1" windowWidth="1920" windowHeight="850" activeSheetId="1"/>
    <customWorkbookView name="user - Личное представление" guid="{868786DC-4C96-45F5-A272-3E03D4B934A0}" mergeInterval="0" personalView="1" maximized="1" xWindow="-8" yWindow="-8" windowWidth="1936" windowHeight="1056" activeSheetId="1"/>
    <customWorkbookView name="Use565c - Личное представление" guid="{A600D8D5-C13F-49F2-9D2C-FC8EA32AC551}" mergeInterval="0" personalView="1" maximized="1" xWindow="1" yWindow="1" windowWidth="1920" windowHeight="802" activeSheetId="1"/>
    <customWorkbookView name="User465b - Личное представление" guid="{471079C8-6E8B-4088-8968-A7D0C5B8653D}" mergeInterval="0" personalView="1" maximized="1" xWindow="1" yWindow="1" windowWidth="1920" windowHeight="850" activeSheetId="1"/>
    <customWorkbookView name="user416d - Личное представление" guid="{998E5F34-5F22-456C-AF6B-44B849DA5E75}" mergeInterval="0" personalView="1" maximized="1" xWindow="1" yWindow="1" windowWidth="1916" windowHeight="692" activeSheetId="1"/>
    <customWorkbookView name="User415b - Личное представление" guid="{0EDC1FFF-2611-4DAC-98A8-22EC25025967}" mergeInterval="0" personalView="1" maximized="1" xWindow="1" yWindow="1" windowWidth="1916" windowHeight="808" activeSheetId="1"/>
    <customWorkbookView name="user415a - Личное представление" guid="{F9D2B861-A6DF-4E58-9205-20667B07345D}" mergeInterval="0" personalView="1" maximized="1" xWindow="1" yWindow="1" windowWidth="1440" windowHeight="633" activeSheetId="1"/>
    <customWorkbookView name="User_455 - Личное представление" guid="{33313D92-ACCC-472C-8066-C92558BED64F}" mergeInterval="0" personalView="1" maximized="1" xWindow="1" yWindow="1" windowWidth="1920" windowHeight="753" activeSheetId="1"/>
    <customWorkbookView name="User565 - Личное представление" guid="{B5FF27E5-4C0E-4323-88CE-5D44F441DDEF}" mergeInterval="0" personalView="1" maximized="1" xWindow="1" yWindow="1" windowWidth="1920" windowHeight="829" activeSheetId="1"/>
    <customWorkbookView name="user458 - Личное представление" guid="{CC0A6F72-A956-4FF0-A9CF-B2F133844683}" mergeInterval="0" personalView="1" maximized="1" xWindow="1" yWindow="1" windowWidth="1280" windowHeight="453" activeSheetId="1"/>
    <customWorkbookView name="User457c  - Личное представление" guid="{2A0A5548-2EEF-4469-A03C-FA481083CE33}" mergeInterval="0" personalView="1" maximized="1" windowWidth="1020" windowHeight="569" activeSheetId="1"/>
    <customWorkbookView name="user_457 - Личное представление" guid="{7EDDA008-F905-436E-A980-951BDACDA577}" mergeInterval="0" personalView="1" maximized="1" xWindow="1" yWindow="1" windowWidth="1920" windowHeight="753" activeSheetId="1"/>
    <customWorkbookView name="User416 - Личное представление" guid="{452C56A1-7A56-4ADE-A5CF-E260228787E3}" mergeInterval="0" personalView="1" maximized="1" windowWidth="1020" windowHeight="596" activeSheetId="1"/>
    <customWorkbookView name="Garmash - Личное представление" guid="{3B5575E9-696E-4E1F-8BBE-8483CF318052}" mergeInterval="0" personalView="1" maximized="1" windowWidth="1020" windowHeight="562" activeSheetId="1"/>
    <customWorkbookView name="User_463 - Личное представление" guid="{E147D13D-D04D-431E-888C-5A9AE670FC44}" mergeInterval="0" personalView="1" maximized="1" windowWidth="1276" windowHeight="850" activeSheetId="1"/>
    <customWorkbookView name="Tanya - Личное представление" guid="{795D5ECF-BF90-4F3E-A74E-B1A55C8421F2}" mergeInterval="0" personalView="1" maximized="1" xWindow="1" yWindow="1" windowWidth="1920" windowHeight="808" activeSheetId="1"/>
    <customWorkbookView name="user_451 - Личное представление" guid="{5EEB5DC5-097B-47D6-81BA-F19E1000B57E}" mergeInterval="0" personalView="1" maximized="1" xWindow="-8" yWindow="-8" windowWidth="1936" windowHeight="1056" activeSheetId="1"/>
    <customWorkbookView name="Танечка - Особисте подання" guid="{839A87F2-F73A-45C5-ADB8-392A99CC1EFF}" mergeInterval="0" personalView="1" maximized="1" xWindow="-8" yWindow="-8" windowWidth="1936" windowHeight="1056" activeSheetId="1"/>
    <customWorkbookView name="Microsoft - Личное представление" guid="{72EDDA2C-BFF2-4D48-A13B-2B9C46213374}" mergeInterval="0" personalView="1" maximized="1" xWindow="1" yWindow="1" windowWidth="1366" windowHeight="496" activeSheetId="1"/>
    <customWorkbookView name="User56a - Личное представление" guid="{B0CF427B-E64B-46A6-97A4-9B49090FE4BE}" mergeInterval="0" personalView="1" maximized="1" xWindow="-8" yWindow="-8" windowWidth="1936" windowHeight="1056" activeSheetId="1"/>
    <customWorkbookView name="User563b - Личное представление" guid="{8112C56A-816E-41B5-AC5C-5C34336EE27C}" mergeInterval="0" personalView="1" maximized="1" xWindow="-9" yWindow="-9" windowWidth="1938" windowHeight="1048" activeSheetId="1"/>
    <customWorkbookView name="User416b - Личное представление" guid="{90518B97-7307-4173-A97E-975285B914B1}" mergeInterval="0" personalView="1" maximized="1" xWindow="1" yWindow="1" windowWidth="1920" windowHeight="850" activeSheetId="1"/>
    <customWorkbookView name="User463d - Личное представление" guid="{F9324F9E-6E0D-484A-B1A6-F87CCAA93894}" mergeInterval="0" personalView="1" maximized="1" xWindow="1" yWindow="1" windowWidth="1920" windowHeight="850" activeSheetId="1"/>
    <customWorkbookView name="user565f - Личное представление" guid="{713A662A-DFDD-43FB-A56E-1E210432D89D}" mergeInterval="0" personalView="1" maximized="1" xWindow="1" yWindow="1" windowWidth="1920" windowHeight="850" activeSheetId="1"/>
    <customWorkbookView name="user457a - Личное представление" guid="{1BDFBE17-25BB-4BB9-B67F-4757B39B2D64}" mergeInterval="0" personalView="1" maximized="1" xWindow="1" yWindow="1" windowWidth="1916" windowHeight="810" activeSheetId="1"/>
    <customWorkbookView name="user415c - Личное представление" guid="{3824CD03-2F75-4531-8348-997F8B6518CE}" mergeInterval="0" personalView="1" maximized="1" xWindow="1" yWindow="1" windowWidth="1920" windowHeight="850" activeSheetId="1"/>
    <customWorkbookView name="User452c - Личное представление" guid="{B09841F2-D07A-4B31-A395-000C1A63FF41}" mergeInterval="0" personalView="1" maximized="1" xWindow="1" yWindow="1" windowWidth="1920" windowHeight="853" activeSheetId="1"/>
    <customWorkbookView name="User465d - Личное представление" guid="{D0621073-25BE-47D7-AC33-51146458D41C}" mergeInterval="0" personalView="1" maximized="1" xWindow="1" yWindow="1" windowWidth="1920" windowHeight="850" activeSheetId="1"/>
    <customWorkbookView name="user563a - Личное представление" guid="{CFB0A04F-563D-4D2B-BCD3-ACFCDC70E584}" mergeInterval="0" personalView="1" maximized="1" xWindow="1" yWindow="1" windowWidth="1920" windowHeight="850" activeSheetId="1"/>
    <customWorkbookView name="user465a - Личное представление" guid="{EF32CA8F-131B-41F0-AA31-167807ADE2D4}" mergeInterval="0" personalView="1" maximized="1" xWindow="1" yWindow="1" windowWidth="1873" windowHeight="831" activeSheetId="1"/>
    <customWorkbookView name="User415 - Личное представление" guid="{06B33669-D909-4CD8-806F-33C009B9DF0A}" mergeInterval="0" personalView="1" maximized="1" xWindow="1" yWindow="1" windowWidth="1920" windowHeight="850" activeSheetId="1"/>
    <customWorkbookView name="user457b - Личное представление" guid="{95A7493F-2B11-406A-BB91-458FD9DC3BAE}" mergeInterval="0" personalView="1" maximized="1" xWindow="1" yWindow="1" windowWidth="1871" windowHeight="780" activeSheetId="1"/>
    <customWorkbookView name="User457d - Личное представление" guid="{0CBA335B-0DD8-471B-913E-91954D8A7DE8}" mergeInterval="0" personalView="1" maximized="1" xWindow="1" yWindow="1" windowWidth="1916" windowHeight="850" activeSheetId="1"/>
    <customWorkbookView name="user416c - Личное представление" guid="{966D3932-E429-4C59-AC55-697D9EEA620A}" mergeInterval="0" personalView="1" maximized="1" xWindow="1" yWindow="1" windowWidth="1920" windowHeight="802" activeSheetId="1"/>
  </customWorkbookViews>
</workbook>
</file>

<file path=xl/calcChain.xml><?xml version="1.0" encoding="utf-8"?>
<calcChain xmlns="http://schemas.openxmlformats.org/spreadsheetml/2006/main">
  <c r="J203" i="1" l="1"/>
  <c r="F241" i="1"/>
  <c r="D258" i="1"/>
  <c r="I156" i="1" l="1"/>
  <c r="J158" i="1"/>
  <c r="I158" i="1"/>
  <c r="J174" i="1"/>
  <c r="I174" i="1"/>
  <c r="J209" i="1"/>
  <c r="I209" i="1"/>
  <c r="J210" i="1"/>
  <c r="I210" i="1"/>
  <c r="J224" i="1"/>
  <c r="I224" i="1"/>
  <c r="I225" i="1"/>
  <c r="I226" i="1"/>
  <c r="G148" i="1"/>
  <c r="J272" i="1"/>
  <c r="I272" i="1"/>
  <c r="I271" i="1"/>
  <c r="I270" i="1"/>
  <c r="F270" i="1"/>
  <c r="E270" i="1"/>
  <c r="I242" i="1"/>
  <c r="I202" i="1"/>
  <c r="E225" i="1"/>
  <c r="E223" i="1"/>
  <c r="E218" i="1"/>
  <c r="F216" i="1"/>
  <c r="E216" i="1"/>
  <c r="E215" i="1"/>
  <c r="E199" i="1"/>
  <c r="E200" i="1"/>
  <c r="J230" i="1"/>
  <c r="I230" i="1"/>
  <c r="I234" i="1"/>
  <c r="I233" i="1"/>
  <c r="I255" i="1"/>
  <c r="H252" i="1"/>
  <c r="H229" i="1"/>
  <c r="H228" i="1" s="1"/>
  <c r="H213" i="1"/>
  <c r="H217" i="1"/>
  <c r="I217" i="1" s="1"/>
  <c r="I264" i="1"/>
  <c r="H262" i="1"/>
  <c r="G262" i="1"/>
  <c r="D262" i="1"/>
  <c r="E264" i="1"/>
  <c r="G229" i="1"/>
  <c r="G228" i="1" s="1"/>
  <c r="G205" i="1"/>
  <c r="F230" i="1"/>
  <c r="E230" i="1"/>
  <c r="D228" i="1"/>
  <c r="C228" i="1"/>
  <c r="C204" i="1"/>
  <c r="C258" i="1"/>
  <c r="E260" i="1"/>
  <c r="H263" i="1"/>
  <c r="G263" i="1"/>
  <c r="D263" i="1"/>
  <c r="E103" i="1"/>
  <c r="E98" i="1"/>
  <c r="E95" i="1"/>
  <c r="E94" i="1"/>
  <c r="E82" i="1"/>
  <c r="E81" i="1"/>
  <c r="E73" i="1"/>
  <c r="E68" i="1"/>
  <c r="E64" i="1"/>
  <c r="E47" i="1"/>
  <c r="E262" i="1" l="1"/>
  <c r="I252" i="1"/>
  <c r="E228" i="1"/>
  <c r="F228" i="1"/>
  <c r="E263" i="1"/>
  <c r="H90" i="1"/>
  <c r="J91" i="1"/>
  <c r="I91" i="1"/>
  <c r="I90" i="1" s="1"/>
  <c r="J45" i="1"/>
  <c r="F101" i="1"/>
  <c r="F75" i="1"/>
  <c r="F57" i="1"/>
  <c r="F54" i="1"/>
  <c r="F34" i="1"/>
  <c r="D102" i="1"/>
  <c r="D90" i="1"/>
  <c r="D80" i="1"/>
  <c r="G90" i="1"/>
  <c r="G87" i="1" s="1"/>
  <c r="C66" i="1"/>
  <c r="C10" i="1"/>
  <c r="C80" i="1"/>
  <c r="C17" i="1"/>
  <c r="E80" i="1" l="1"/>
  <c r="J90" i="1"/>
  <c r="I196" i="1"/>
  <c r="I194" i="1"/>
  <c r="I192" i="1"/>
  <c r="I189" i="1"/>
  <c r="I168" i="1"/>
  <c r="F165" i="1"/>
  <c r="E165" i="1"/>
  <c r="H118" i="1"/>
  <c r="D120" i="1"/>
  <c r="D118" i="1"/>
  <c r="D253" i="1"/>
  <c r="D252" i="1" l="1"/>
  <c r="I125" i="1"/>
  <c r="I118" i="1"/>
  <c r="C118" i="1"/>
  <c r="C120" i="1"/>
  <c r="E120" i="1" s="1"/>
  <c r="F256" i="1" l="1"/>
  <c r="F248" i="1"/>
  <c r="H186" i="1"/>
  <c r="I148" i="1"/>
  <c r="G124" i="1"/>
  <c r="G122" i="1"/>
  <c r="G207" i="1"/>
  <c r="J134" i="1"/>
  <c r="I149" i="1"/>
  <c r="I147" i="1"/>
  <c r="I146" i="1"/>
  <c r="I145" i="1"/>
  <c r="I144" i="1"/>
  <c r="E209" i="1"/>
  <c r="D198" i="1"/>
  <c r="H124" i="1"/>
  <c r="H122" i="1"/>
  <c r="H152" i="1"/>
  <c r="I152" i="1" s="1"/>
  <c r="F143" i="1"/>
  <c r="F134" i="1"/>
  <c r="F136" i="1"/>
  <c r="F137" i="1"/>
  <c r="F139" i="1"/>
  <c r="F140" i="1"/>
  <c r="F141" i="1"/>
  <c r="F129" i="1"/>
  <c r="F130" i="1"/>
  <c r="F132" i="1"/>
  <c r="F133" i="1"/>
  <c r="F127" i="1"/>
  <c r="F128" i="1"/>
  <c r="F122" i="1"/>
  <c r="E143" i="1"/>
  <c r="E146" i="1"/>
  <c r="E148" i="1"/>
  <c r="E149" i="1"/>
  <c r="D125" i="1"/>
  <c r="F125" i="1" s="1"/>
  <c r="D124" i="1"/>
  <c r="F124" i="1" s="1"/>
  <c r="H155" i="1"/>
  <c r="D156" i="1"/>
  <c r="C156" i="1"/>
  <c r="G193" i="1"/>
  <c r="E177" i="1"/>
  <c r="E176" i="1"/>
  <c r="E173" i="1"/>
  <c r="D188" i="1"/>
  <c r="D175" i="1"/>
  <c r="D187" i="1"/>
  <c r="D182" i="1"/>
  <c r="D170" i="1"/>
  <c r="D174" i="1"/>
  <c r="D168" i="1"/>
  <c r="D163" i="1"/>
  <c r="G187" i="1"/>
  <c r="G171" i="1"/>
  <c r="C175" i="1"/>
  <c r="C187" i="1"/>
  <c r="C182" i="1"/>
  <c r="C157" i="1"/>
  <c r="D169" i="1" l="1"/>
  <c r="E169" i="1" s="1"/>
  <c r="E170" i="1"/>
  <c r="I155" i="1"/>
  <c r="I124" i="1"/>
  <c r="I122" i="1"/>
  <c r="E188" i="1"/>
  <c r="G186" i="1"/>
  <c r="I186" i="1" s="1"/>
  <c r="I187" i="1"/>
  <c r="J187" i="1"/>
  <c r="D171" i="1"/>
  <c r="E174" i="1"/>
  <c r="I207" i="1"/>
  <c r="H151" i="1"/>
  <c r="E175" i="1"/>
  <c r="C131" i="1"/>
  <c r="G249" i="1" l="1"/>
  <c r="C249" i="1"/>
  <c r="D249" i="1"/>
  <c r="F249" i="1" l="1"/>
  <c r="F208" i="1"/>
  <c r="H244" i="1" l="1"/>
  <c r="D244" i="1"/>
  <c r="C244" i="1"/>
  <c r="D220" i="1"/>
  <c r="C220" i="1"/>
  <c r="H171" i="1"/>
  <c r="C171" i="1"/>
  <c r="J229" i="1"/>
  <c r="I229" i="1"/>
  <c r="J219" i="1"/>
  <c r="I219" i="1"/>
  <c r="H204" i="1"/>
  <c r="D204" i="1"/>
  <c r="H201" i="1"/>
  <c r="G201" i="1"/>
  <c r="D201" i="1"/>
  <c r="C201" i="1"/>
  <c r="F172" i="1"/>
  <c r="E172" i="1"/>
  <c r="F168" i="1"/>
  <c r="E168" i="1"/>
  <c r="D239" i="1" l="1"/>
  <c r="E201" i="1"/>
  <c r="J171" i="1"/>
  <c r="I171" i="1"/>
  <c r="F159" i="1"/>
  <c r="E159" i="1"/>
  <c r="F156" i="1"/>
  <c r="E156" i="1"/>
  <c r="G151" i="1"/>
  <c r="C155" i="1"/>
  <c r="E184" i="1"/>
  <c r="D181" i="1" l="1"/>
  <c r="H212" i="1"/>
  <c r="G212" i="1"/>
  <c r="G211" i="1" s="1"/>
  <c r="D212" i="1"/>
  <c r="C212" i="1"/>
  <c r="H102" i="1"/>
  <c r="C102" i="1"/>
  <c r="H80" i="1"/>
  <c r="H211" i="1" l="1"/>
  <c r="G204" i="1"/>
  <c r="D247" i="1"/>
  <c r="I80" i="1"/>
  <c r="H87" i="1"/>
  <c r="E102" i="1"/>
  <c r="I102" i="1"/>
  <c r="E114" i="1"/>
  <c r="E113" i="1"/>
  <c r="F112" i="1"/>
  <c r="E112" i="1"/>
  <c r="I108" i="1"/>
  <c r="F107" i="1"/>
  <c r="E107" i="1"/>
  <c r="E101" i="1"/>
  <c r="C90" i="1"/>
  <c r="E99" i="1"/>
  <c r="E97" i="1"/>
  <c r="C100" i="1"/>
  <c r="D100" i="1"/>
  <c r="F96" i="1"/>
  <c r="E96" i="1"/>
  <c r="E92" i="1"/>
  <c r="F89" i="1"/>
  <c r="E89" i="1"/>
  <c r="F88" i="1"/>
  <c r="E88" i="1"/>
  <c r="I83" i="1"/>
  <c r="I79" i="1"/>
  <c r="I78" i="1"/>
  <c r="J77" i="1"/>
  <c r="I77" i="1"/>
  <c r="E75" i="1"/>
  <c r="I74" i="1"/>
  <c r="F72" i="1"/>
  <c r="E72" i="1"/>
  <c r="F69" i="1"/>
  <c r="E69" i="1"/>
  <c r="F67" i="1"/>
  <c r="E67" i="1"/>
  <c r="F65" i="1"/>
  <c r="E65" i="1"/>
  <c r="E63" i="1"/>
  <c r="F62" i="1"/>
  <c r="E62" i="1"/>
  <c r="F61" i="1"/>
  <c r="E61" i="1"/>
  <c r="F60" i="1"/>
  <c r="E60" i="1"/>
  <c r="E57" i="1"/>
  <c r="F56" i="1"/>
  <c r="E56" i="1"/>
  <c r="E55" i="1"/>
  <c r="E54" i="1"/>
  <c r="E53" i="1"/>
  <c r="E52" i="1"/>
  <c r="I45" i="1"/>
  <c r="E44" i="1"/>
  <c r="F43" i="1"/>
  <c r="E43" i="1"/>
  <c r="F42" i="1"/>
  <c r="E42" i="1"/>
  <c r="F40" i="1"/>
  <c r="E40" i="1"/>
  <c r="F39" i="1"/>
  <c r="E39" i="1"/>
  <c r="F37" i="1"/>
  <c r="E37" i="1"/>
  <c r="F36" i="1"/>
  <c r="E36" i="1"/>
  <c r="F35" i="1"/>
  <c r="E35" i="1"/>
  <c r="E34" i="1"/>
  <c r="F33" i="1"/>
  <c r="E33" i="1"/>
  <c r="F32" i="1"/>
  <c r="E32" i="1"/>
  <c r="F31" i="1"/>
  <c r="E31" i="1"/>
  <c r="F30" i="1"/>
  <c r="E30" i="1"/>
  <c r="E29" i="1"/>
  <c r="F28" i="1"/>
  <c r="E28" i="1"/>
  <c r="F25" i="1"/>
  <c r="E25" i="1"/>
  <c r="E24" i="1"/>
  <c r="E22" i="1"/>
  <c r="F19" i="1"/>
  <c r="E19" i="1"/>
  <c r="E18" i="1"/>
  <c r="E16" i="1"/>
  <c r="E15" i="1"/>
  <c r="F14" i="1"/>
  <c r="E14" i="1"/>
  <c r="F13" i="1"/>
  <c r="E13" i="1"/>
  <c r="F11" i="1"/>
  <c r="E11" i="1"/>
  <c r="J87" i="1" l="1"/>
  <c r="I211" i="1"/>
  <c r="G197" i="1"/>
  <c r="F100" i="1"/>
  <c r="I87" i="1"/>
  <c r="E90" i="1"/>
  <c r="D87" i="1"/>
  <c r="C87" i="1"/>
  <c r="F90" i="1"/>
  <c r="E100" i="1"/>
  <c r="E150" i="1"/>
  <c r="F87" i="1" l="1"/>
  <c r="E87" i="1"/>
  <c r="E278" i="1" l="1"/>
  <c r="D280" i="1"/>
  <c r="C280" i="1"/>
  <c r="D277" i="1"/>
  <c r="E277" i="1" l="1"/>
  <c r="F221" i="1" l="1"/>
  <c r="I139" i="1" l="1"/>
  <c r="H138" i="1"/>
  <c r="H131" i="1"/>
  <c r="C138" i="1"/>
  <c r="C135" i="1"/>
  <c r="H123" i="1" l="1"/>
  <c r="I138" i="1"/>
  <c r="G8" i="1"/>
  <c r="F219" i="1" l="1"/>
  <c r="D157" i="1"/>
  <c r="D155" i="1"/>
  <c r="D193" i="1"/>
  <c r="C193" i="1"/>
  <c r="E155" i="1" l="1"/>
  <c r="D151" i="1"/>
  <c r="F155" i="1"/>
  <c r="C186" i="1"/>
  <c r="G237" i="1"/>
  <c r="J248" i="1"/>
  <c r="D179" i="1"/>
  <c r="C179" i="1"/>
  <c r="G239" i="1" l="1"/>
  <c r="H239" i="1"/>
  <c r="I239" i="1" l="1"/>
  <c r="I245" i="1"/>
  <c r="D50" i="1"/>
  <c r="C50" i="1"/>
  <c r="D123" i="1"/>
  <c r="D211" i="1" l="1"/>
  <c r="D237" i="1"/>
  <c r="D235" i="1"/>
  <c r="J265" i="1"/>
  <c r="J241" i="1"/>
  <c r="D232" i="1" l="1"/>
  <c r="G232" i="1"/>
  <c r="J185" i="1" l="1"/>
  <c r="H71" i="1"/>
  <c r="G71" i="1"/>
  <c r="G70" i="1" s="1"/>
  <c r="D71" i="1"/>
  <c r="C71" i="1"/>
  <c r="C70" i="1" s="1"/>
  <c r="D66" i="1"/>
  <c r="D59" i="1"/>
  <c r="C59" i="1"/>
  <c r="C58" i="1" s="1"/>
  <c r="C49" i="1"/>
  <c r="D41" i="1"/>
  <c r="C41" i="1"/>
  <c r="D38" i="1"/>
  <c r="C38" i="1"/>
  <c r="D27" i="1"/>
  <c r="C27" i="1"/>
  <c r="D23" i="1"/>
  <c r="C23" i="1"/>
  <c r="D21" i="1"/>
  <c r="C21" i="1"/>
  <c r="D17" i="1"/>
  <c r="D10" i="1"/>
  <c r="H8" i="1"/>
  <c r="J8" i="1" l="1"/>
  <c r="F38" i="1"/>
  <c r="F41" i="1"/>
  <c r="F66" i="1"/>
  <c r="G48" i="1"/>
  <c r="G86" i="1" s="1"/>
  <c r="G115" i="1" s="1"/>
  <c r="H70" i="1"/>
  <c r="D70" i="1"/>
  <c r="F71" i="1"/>
  <c r="C48" i="1"/>
  <c r="F27" i="1"/>
  <c r="E59" i="1"/>
  <c r="C20" i="1"/>
  <c r="E10" i="1"/>
  <c r="C26" i="1"/>
  <c r="E21" i="1"/>
  <c r="E27" i="1"/>
  <c r="D20" i="1"/>
  <c r="E66" i="1"/>
  <c r="E23" i="1"/>
  <c r="D26" i="1"/>
  <c r="E38" i="1"/>
  <c r="D9" i="1"/>
  <c r="I71" i="1"/>
  <c r="E17" i="1"/>
  <c r="E50" i="1"/>
  <c r="E71" i="1"/>
  <c r="D58" i="1"/>
  <c r="C9" i="1"/>
  <c r="E41" i="1"/>
  <c r="F10" i="1"/>
  <c r="I8" i="1"/>
  <c r="F59" i="1"/>
  <c r="D49" i="1"/>
  <c r="H48" i="1" l="1"/>
  <c r="F70" i="1"/>
  <c r="E70" i="1"/>
  <c r="C8" i="1"/>
  <c r="C86" i="1" s="1"/>
  <c r="F20" i="1"/>
  <c r="E58" i="1"/>
  <c r="D48" i="1"/>
  <c r="E20" i="1"/>
  <c r="F58" i="1"/>
  <c r="D8" i="1"/>
  <c r="E26" i="1"/>
  <c r="F26" i="1"/>
  <c r="I70" i="1"/>
  <c r="F9" i="1"/>
  <c r="E9" i="1"/>
  <c r="E49" i="1"/>
  <c r="C115" i="1" l="1"/>
  <c r="D86" i="1"/>
  <c r="F8" i="1"/>
  <c r="E8" i="1"/>
  <c r="E48" i="1"/>
  <c r="F48" i="1"/>
  <c r="H86" i="1" s="1"/>
  <c r="H115" i="1" l="1"/>
  <c r="D115" i="1"/>
  <c r="E86" i="1"/>
  <c r="F86" i="1"/>
  <c r="F115" i="1" l="1"/>
  <c r="E115" i="1"/>
  <c r="E142" i="1"/>
  <c r="C126" i="1"/>
  <c r="C123" i="1"/>
  <c r="F123" i="1" l="1"/>
  <c r="C121" i="1"/>
  <c r="C151" i="1" l="1"/>
  <c r="F157" i="1"/>
  <c r="E157" i="1"/>
  <c r="C211" i="1"/>
  <c r="F243" i="1"/>
  <c r="E241" i="1"/>
  <c r="E245" i="1"/>
  <c r="F245" i="1"/>
  <c r="E238" i="1"/>
  <c r="C198" i="1"/>
  <c r="I153" i="1"/>
  <c r="C237" i="1"/>
  <c r="I241" i="1"/>
  <c r="J213" i="1"/>
  <c r="F213" i="1"/>
  <c r="I238" i="1"/>
  <c r="F236" i="1"/>
  <c r="E236" i="1"/>
  <c r="E198" i="1" l="1"/>
  <c r="F220" i="1"/>
  <c r="F238" i="1"/>
  <c r="J228" i="1" l="1"/>
  <c r="I244" i="1"/>
  <c r="I228" i="1"/>
  <c r="E141" i="1"/>
  <c r="E140" i="1"/>
  <c r="E139" i="1"/>
  <c r="E137" i="1"/>
  <c r="E136" i="1"/>
  <c r="E134" i="1"/>
  <c r="E133" i="1"/>
  <c r="E132" i="1"/>
  <c r="E129" i="1"/>
  <c r="E128" i="1"/>
  <c r="E127" i="1"/>
  <c r="E125" i="1"/>
  <c r="E122" i="1"/>
  <c r="E124" i="1"/>
  <c r="C235" i="1"/>
  <c r="C239" i="1"/>
  <c r="J191" i="1"/>
  <c r="H117" i="1"/>
  <c r="G117" i="1"/>
  <c r="E221" i="1"/>
  <c r="E243" i="1"/>
  <c r="F259" i="1"/>
  <c r="E259" i="1"/>
  <c r="F239" i="1" l="1"/>
  <c r="E239" i="1"/>
  <c r="I117" i="1"/>
  <c r="E235" i="1"/>
  <c r="F217" i="1"/>
  <c r="I185" i="1"/>
  <c r="E130" i="1"/>
  <c r="D126" i="1"/>
  <c r="J167" i="1"/>
  <c r="F163" i="1"/>
  <c r="F162" i="1"/>
  <c r="F126" i="1" l="1"/>
  <c r="C181" i="1"/>
  <c r="H237" i="1" l="1"/>
  <c r="H232" i="1" l="1"/>
  <c r="I237" i="1"/>
  <c r="E219" i="1"/>
  <c r="I232" i="1" l="1"/>
  <c r="H227" i="1"/>
  <c r="G227" i="1" l="1"/>
  <c r="I227" i="1" s="1"/>
  <c r="E123" i="1" l="1"/>
  <c r="F271" i="1" l="1"/>
  <c r="F235" i="1" l="1"/>
  <c r="D138" i="1"/>
  <c r="F214" i="1"/>
  <c r="F138" i="1" l="1"/>
  <c r="C117" i="1"/>
  <c r="C282" i="1" l="1"/>
  <c r="C284" i="1" s="1"/>
  <c r="I213" i="1" l="1"/>
  <c r="I205" i="1"/>
  <c r="H193" i="1"/>
  <c r="H135" i="1"/>
  <c r="F283" i="1"/>
  <c r="E283" i="1"/>
  <c r="F237" i="1"/>
  <c r="F244" i="1"/>
  <c r="D207" i="1"/>
  <c r="H190" i="1" l="1"/>
  <c r="H121" i="1"/>
  <c r="I193" i="1"/>
  <c r="E211" i="1"/>
  <c r="E237" i="1"/>
  <c r="F187" i="1"/>
  <c r="E187" i="1"/>
  <c r="F183" i="1"/>
  <c r="E183" i="1"/>
  <c r="E182" i="1"/>
  <c r="F180" i="1"/>
  <c r="E180" i="1"/>
  <c r="F178" i="1"/>
  <c r="E178" i="1"/>
  <c r="F167" i="1"/>
  <c r="E167" i="1"/>
  <c r="F164" i="1"/>
  <c r="E164" i="1"/>
  <c r="E163" i="1"/>
  <c r="E162" i="1"/>
  <c r="D166" i="1"/>
  <c r="D161" i="1"/>
  <c r="D186" i="1"/>
  <c r="D131" i="1"/>
  <c r="D135" i="1"/>
  <c r="F135" i="1" l="1"/>
  <c r="D160" i="1"/>
  <c r="F131" i="1"/>
  <c r="D121" i="1"/>
  <c r="G269" i="1"/>
  <c r="G268" i="1" s="1"/>
  <c r="G247" i="1"/>
  <c r="G246" i="1" s="1"/>
  <c r="G166" i="1"/>
  <c r="G160" i="1" s="1"/>
  <c r="G135" i="1"/>
  <c r="G131" i="1"/>
  <c r="G123" i="1"/>
  <c r="C269" i="1"/>
  <c r="C247" i="1"/>
  <c r="C232" i="1"/>
  <c r="E220" i="1"/>
  <c r="C207" i="1"/>
  <c r="C190" i="1"/>
  <c r="F171" i="1"/>
  <c r="C166" i="1"/>
  <c r="C161" i="1"/>
  <c r="E138" i="1"/>
  <c r="E135" i="1"/>
  <c r="E131" i="1"/>
  <c r="E207" i="1" l="1"/>
  <c r="C160" i="1"/>
  <c r="E160" i="1" s="1"/>
  <c r="G121" i="1"/>
  <c r="I123" i="1"/>
  <c r="E121" i="1"/>
  <c r="F121" i="1"/>
  <c r="E171" i="1"/>
  <c r="C246" i="1"/>
  <c r="F247" i="1"/>
  <c r="F207" i="1"/>
  <c r="E232" i="1"/>
  <c r="F232" i="1"/>
  <c r="F161" i="1"/>
  <c r="E126" i="1"/>
  <c r="E166" i="1"/>
  <c r="E186" i="1"/>
  <c r="C268" i="1"/>
  <c r="E181" i="1"/>
  <c r="E179" i="1"/>
  <c r="G190" i="1"/>
  <c r="C227" i="1"/>
  <c r="E244" i="1"/>
  <c r="F166" i="1"/>
  <c r="F179" i="1"/>
  <c r="F186" i="1"/>
  <c r="C197" i="1"/>
  <c r="I121" i="1" l="1"/>
  <c r="C273" i="1"/>
  <c r="G273" i="1"/>
  <c r="I136" i="1"/>
  <c r="I134" i="1"/>
  <c r="I132" i="1"/>
  <c r="I130" i="1"/>
  <c r="I129" i="1"/>
  <c r="C257" i="1" l="1"/>
  <c r="C261" i="1" s="1"/>
  <c r="I131" i="1"/>
  <c r="I135" i="1"/>
  <c r="C266" i="1" l="1"/>
  <c r="I167" i="1"/>
  <c r="H166" i="1"/>
  <c r="H269" i="1"/>
  <c r="I269" i="1" l="1"/>
  <c r="H160" i="1"/>
  <c r="H268" i="1"/>
  <c r="J166" i="1"/>
  <c r="E161" i="1"/>
  <c r="I166" i="1"/>
  <c r="F212" i="1"/>
  <c r="E212" i="1"/>
  <c r="D282" i="1"/>
  <c r="I268" i="1" l="1"/>
  <c r="D284" i="1"/>
  <c r="F282" i="1"/>
  <c r="E282" i="1"/>
  <c r="I160" i="1"/>
  <c r="F160" i="1"/>
  <c r="F284" i="1" l="1"/>
  <c r="E284" i="1"/>
  <c r="H247" i="1"/>
  <c r="H246" i="1" l="1"/>
  <c r="J247" i="1"/>
  <c r="J246" i="1" l="1"/>
  <c r="J212" i="1"/>
  <c r="I212" i="1"/>
  <c r="D190" i="1" l="1"/>
  <c r="E118" i="1" l="1"/>
  <c r="D117" i="1" l="1"/>
  <c r="E152" i="1" l="1"/>
  <c r="D269" i="1" l="1"/>
  <c r="F118" i="1"/>
  <c r="F269" i="1" l="1"/>
  <c r="D268" i="1"/>
  <c r="H273" i="1"/>
  <c r="F117" i="1"/>
  <c r="E117" i="1"/>
  <c r="I273" i="1" l="1"/>
  <c r="F268" i="1"/>
  <c r="D273" i="1"/>
  <c r="F273" i="1" l="1"/>
  <c r="F154" i="1"/>
  <c r="E154" i="1"/>
  <c r="E153" i="1"/>
  <c r="F152" i="1"/>
  <c r="F211" i="1"/>
  <c r="F281" i="1"/>
  <c r="F280" i="1"/>
  <c r="F209" i="1"/>
  <c r="F203" i="1"/>
  <c r="F202" i="1"/>
  <c r="F194" i="1"/>
  <c r="F192" i="1"/>
  <c r="F191" i="1"/>
  <c r="F258" i="1" l="1"/>
  <c r="E258" i="1"/>
  <c r="I151" i="1" l="1"/>
  <c r="F151" i="1"/>
  <c r="E151" i="1"/>
  <c r="F205" i="1"/>
  <c r="I248" i="1"/>
  <c r="F201" i="1" l="1"/>
  <c r="E191" i="1" l="1"/>
  <c r="I191" i="1"/>
  <c r="E192" i="1"/>
  <c r="E194" i="1"/>
  <c r="E195" i="1"/>
  <c r="E202" i="1"/>
  <c r="E203" i="1"/>
  <c r="E205" i="1"/>
  <c r="E208" i="1"/>
  <c r="E213" i="1"/>
  <c r="E214" i="1"/>
  <c r="E217" i="1"/>
  <c r="I265" i="1"/>
  <c r="E268" i="1"/>
  <c r="E269" i="1"/>
  <c r="E271" i="1"/>
  <c r="E273" i="1"/>
  <c r="E280" i="1"/>
  <c r="E281" i="1"/>
  <c r="J262" i="1" l="1"/>
  <c r="J263" i="1"/>
  <c r="D227" i="1"/>
  <c r="I263" i="1"/>
  <c r="I262" i="1"/>
  <c r="I201" i="1"/>
  <c r="F204" i="1"/>
  <c r="F193" i="1"/>
  <c r="I247" i="1"/>
  <c r="D197" i="1"/>
  <c r="E204" i="1"/>
  <c r="H197" i="1"/>
  <c r="E193" i="1"/>
  <c r="F197" i="1" l="1"/>
  <c r="I190" i="1"/>
  <c r="I197" i="1"/>
  <c r="I204" i="1"/>
  <c r="H257" i="1"/>
  <c r="F190" i="1"/>
  <c r="E190" i="1"/>
  <c r="E197" i="1"/>
  <c r="F227" i="1" l="1"/>
  <c r="E227" i="1"/>
  <c r="H261" i="1"/>
  <c r="H266" i="1" l="1"/>
  <c r="I246" i="1" l="1"/>
  <c r="G257" i="1" l="1"/>
  <c r="I257" i="1" l="1"/>
  <c r="G261" i="1"/>
  <c r="I261" i="1" l="1"/>
  <c r="G266" i="1"/>
  <c r="I266" i="1" l="1"/>
  <c r="I86" i="1" l="1"/>
  <c r="I48" i="1"/>
  <c r="J115" i="1" l="1"/>
  <c r="I115" i="1"/>
  <c r="E247" i="1"/>
  <c r="E248" i="1"/>
  <c r="E254" i="1"/>
  <c r="E253" i="1" s="1"/>
  <c r="E256" i="1"/>
  <c r="E252" i="1"/>
  <c r="E250" i="1"/>
  <c r="E249" i="1" s="1"/>
  <c r="D246" i="1"/>
  <c r="F246" i="1" l="1"/>
  <c r="D257" i="1"/>
  <c r="E246" i="1"/>
  <c r="F257" i="1" l="1"/>
  <c r="D261" i="1"/>
  <c r="D266" i="1" s="1"/>
  <c r="E257" i="1"/>
  <c r="E261" i="1" l="1"/>
  <c r="F261" i="1"/>
  <c r="E266" i="1"/>
  <c r="F266" i="1"/>
</calcChain>
</file>

<file path=xl/sharedStrings.xml><?xml version="1.0" encoding="utf-8"?>
<sst xmlns="http://schemas.openxmlformats.org/spreadsheetml/2006/main" count="526" uniqueCount="464">
  <si>
    <t>Загальний фонд</t>
  </si>
  <si>
    <t>Спеціальний фонд</t>
  </si>
  <si>
    <t>Код бюджетної класифікації</t>
  </si>
  <si>
    <t>Найменування коду згідно із бюджетною класифікацією</t>
  </si>
  <si>
    <t>Державне управління</t>
  </si>
  <si>
    <t>Органи місцевого самоврядування</t>
  </si>
  <si>
    <t>Освіта</t>
  </si>
  <si>
    <t>Охорона здоров'я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</si>
  <si>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</si>
  <si>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</si>
  <si>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</si>
  <si>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</si>
  <si>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Компенсаційні виплати на пільговий проїзд автомобільним транспортом окремим категоріям громадян</t>
  </si>
  <si>
    <t>МІЖБЮДЖЕТНІ ТРАНСФЕРТИ</t>
  </si>
  <si>
    <t>ВСЬОГО ВИДАТКІВ З КРЕДИТУВАННЯМ</t>
  </si>
  <si>
    <t xml:space="preserve">РАЗОМ ВИДАТКИ </t>
  </si>
  <si>
    <t xml:space="preserve"> КРЕДИТУВАННЯ </t>
  </si>
  <si>
    <t xml:space="preserve">ВСЬОГО ВИДАТКІВ </t>
  </si>
  <si>
    <t xml:space="preserve">ФІНАНСУВАННЯ </t>
  </si>
  <si>
    <t>Дефіцит (-)/профіцит (+)</t>
  </si>
  <si>
    <t>Внутрішнє фінансування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</si>
  <si>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</si>
  <si>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бюджетів</t>
  </si>
  <si>
    <t>Разом коштів, отриманих з усіх джерел фінансування бюджету за типом кредитора</t>
  </si>
  <si>
    <t>Внутрішній борг</t>
  </si>
  <si>
    <t>Класифікація боргу за типом боргового зобов"язання</t>
  </si>
  <si>
    <t>Заборгованість за середньостроковими зобов"язаннями (позики за рахунок ресурсів єдиного казначейського рахунка)</t>
  </si>
  <si>
    <t>Відхилення, тис. грн.</t>
  </si>
  <si>
    <t>Темп зростання, %</t>
  </si>
  <si>
    <t>0100</t>
  </si>
  <si>
    <t>1000</t>
  </si>
  <si>
    <t>1010</t>
  </si>
  <si>
    <t>1020</t>
  </si>
  <si>
    <t>1030</t>
  </si>
  <si>
    <t>1090</t>
  </si>
  <si>
    <t>2000</t>
  </si>
  <si>
    <t>2010</t>
  </si>
  <si>
    <t>Багатопрофільна стаціонарна медична допомога населенню</t>
  </si>
  <si>
    <t>3000</t>
  </si>
  <si>
    <t>3030</t>
  </si>
  <si>
    <t>3031</t>
  </si>
  <si>
    <t>3033</t>
  </si>
  <si>
    <t>3050</t>
  </si>
  <si>
    <t>3090</t>
  </si>
  <si>
    <t>3100</t>
  </si>
  <si>
    <t>3104</t>
  </si>
  <si>
    <t>3105</t>
  </si>
  <si>
    <t>3190</t>
  </si>
  <si>
    <t>3240</t>
  </si>
  <si>
    <t>Пільгове медичне обслуговування осіб, які постраждали внаслідок Чорнобильської катастрофи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</si>
  <si>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</si>
  <si>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Здійснення соціальної роботи з вразливими категоріями населення</t>
  </si>
  <si>
    <t>Соціальний захист ветеранів війни та праці</t>
  </si>
  <si>
    <t>6000</t>
  </si>
  <si>
    <t>6010</t>
  </si>
  <si>
    <t>4000</t>
  </si>
  <si>
    <t>4060</t>
  </si>
  <si>
    <t>5000</t>
  </si>
  <si>
    <t>Проведення спортивної роботи в регіоні</t>
  </si>
  <si>
    <t>5010</t>
  </si>
  <si>
    <t>5011</t>
  </si>
  <si>
    <t>5012</t>
  </si>
  <si>
    <t>5030</t>
  </si>
  <si>
    <t>5031</t>
  </si>
  <si>
    <t>5033</t>
  </si>
  <si>
    <t>5040</t>
  </si>
  <si>
    <t>5041</t>
  </si>
  <si>
    <t>5060</t>
  </si>
  <si>
    <t>5062</t>
  </si>
  <si>
    <t>5063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</si>
  <si>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</si>
  <si>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</si>
  <si>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та заходів з інвалідного спорту</t>
  </si>
  <si>
    <t>Утримання та навчально-тренувальна робота комунальних дитячо-юнацьких спортивних шкіл</t>
  </si>
  <si>
    <t>Забезпечення підготовки спортсменів вищих категорій школами вищої спортивної майстерності</t>
  </si>
  <si>
    <t>Підтримка і розвиток спортивної інфраструктури</t>
  </si>
  <si>
    <t>Утримання комунальних спортивних споруд</t>
  </si>
  <si>
    <t>Інші заходи з розвитку фізичної культури та спорту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</si>
  <si>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</si>
  <si>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централізованої бухгалтерії</t>
  </si>
  <si>
    <t>7300</t>
  </si>
  <si>
    <t>8000</t>
  </si>
  <si>
    <t>Забезпечення збору та вивезення сміття і відходів, надійної та безперебійної експлуатації каналізаційних систем</t>
  </si>
  <si>
    <t>Інші заходи у сфері електротранспорту</t>
  </si>
  <si>
    <t>7400</t>
  </si>
  <si>
    <t>Внески до статутного капіталу суб’єктів господарювання</t>
  </si>
  <si>
    <t>3160</t>
  </si>
  <si>
    <t>1160</t>
  </si>
  <si>
    <t>Заходи з енергозбереження</t>
  </si>
  <si>
    <t>Інші заходи, пов'язані з економічною діяльністю</t>
  </si>
  <si>
    <t>7600</t>
  </si>
  <si>
    <t>1150</t>
  </si>
  <si>
    <t>2030</t>
  </si>
  <si>
    <t>2080</t>
  </si>
  <si>
    <t>2110</t>
  </si>
  <si>
    <t>2111</t>
  </si>
  <si>
    <t>2150</t>
  </si>
  <si>
    <t>2152</t>
  </si>
  <si>
    <t>3120</t>
  </si>
  <si>
    <t>3121</t>
  </si>
  <si>
    <t>3170</t>
  </si>
  <si>
    <t>3171</t>
  </si>
  <si>
    <t>3191</t>
  </si>
  <si>
    <t>3192</t>
  </si>
  <si>
    <t>3210</t>
  </si>
  <si>
    <t>3241</t>
  </si>
  <si>
    <t>3242</t>
  </si>
  <si>
    <t>4030</t>
  </si>
  <si>
    <t>4080</t>
  </si>
  <si>
    <t>4081</t>
  </si>
  <si>
    <t>4082</t>
  </si>
  <si>
    <t>6011</t>
  </si>
  <si>
    <t>6014</t>
  </si>
  <si>
    <t>0160</t>
  </si>
  <si>
    <t xml:space="preserve">Забезпечення діяльності інших закладів у сфері освіти </t>
  </si>
  <si>
    <t>Інші програми та заходи у сфері освіти</t>
  </si>
  <si>
    <t>Лікарсько-акушерська допомога вагітним, породіллям та новонародженим</t>
  </si>
  <si>
    <t>Первинна медична допомога населенню, що надається центрами первинної медичної (медико-санітарної) допомоги</t>
  </si>
  <si>
    <t>Інші  програми, заклади та заходи у сфері охорони здоров’я</t>
  </si>
  <si>
    <t>Інші програми та заходи у сфері охорони здоров’я</t>
  </si>
  <si>
    <t>Забезпечення діяльності бібліотек</t>
  </si>
  <si>
    <t>Інші заклади та заходи в галузі культури і мистецтва</t>
  </si>
  <si>
    <t xml:space="preserve">Забезпечення діяльності інших закладів в галузі культури і мистецтва </t>
  </si>
  <si>
    <t>Інші заходи в галузі культури і мистецтва</t>
  </si>
  <si>
    <t>Утримання та ефективна експлуатація об’єктів житлово-комунального господарства</t>
  </si>
  <si>
    <t>Експлуатація та технічне обслуговування житлового фонду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</si>
  <si>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</si>
  <si>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</si>
  <si>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</si>
  <si>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Інша діяльність у сфері житлово-комунального господарства</t>
  </si>
  <si>
    <t xml:space="preserve">Реалізація державних та місцевих житлових програм </t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</si>
  <si>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</si>
  <si>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</si>
  <si>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</si>
  <si>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7426</t>
  </si>
  <si>
    <t>Забезпечення надання послуг з перевезення пасажирів електротранспортом</t>
  </si>
  <si>
    <t>Інші послуги та заходи, пов'язані з економічною діяльністю</t>
  </si>
  <si>
    <t>7640</t>
  </si>
  <si>
    <t>7670</t>
  </si>
  <si>
    <t>Інша економічна діяльність</t>
  </si>
  <si>
    <t>7690</t>
  </si>
  <si>
    <t>7693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</si>
  <si>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</si>
  <si>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</si>
  <si>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</si>
  <si>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Заходи із запобігання та ліквідації надзвичайних ситуацій та наслідків стихійного лиха</t>
  </si>
  <si>
    <t>8822</t>
  </si>
  <si>
    <t>8820</t>
  </si>
  <si>
    <t>Пільгові довгострокові кредити молодим сім’ям та одиноким молодим громадянам на будівництво/придбання житла  та їх повернення</t>
  </si>
  <si>
    <t>8200</t>
  </si>
  <si>
    <t>8220</t>
  </si>
  <si>
    <t>Інша діяльність</t>
  </si>
  <si>
    <t>Громадський порядок та безпека</t>
  </si>
  <si>
    <t>Надання пільг з оплати послуг зв’язку,  інших передбачених законодавством пільг окремим категоріям громадян та компенсації за пільговий проїзд окремих категорій громадян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</si>
  <si>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</si>
  <si>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віку,особам з інвалідістю, дітям з інвалідністю в установах соціального обслуговування</t>
  </si>
  <si>
    <t>Надання реабілітаційних послуг особам з інвалідістю та дітям з інвалідністю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</si>
  <si>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</si>
  <si>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реалізації окремих програм для осіб з інвалідністю</t>
  </si>
  <si>
    <t>Заходи та роботи з мобілізаційної підготовки місцевого значення</t>
  </si>
  <si>
    <t>Інші заклади та заходи</t>
  </si>
  <si>
    <t xml:space="preserve"> Забезпечення діяльності інших закладів у сфері соціального захисту і соціального забезпечення</t>
  </si>
  <si>
    <t xml:space="preserve"> Інші заходи у сфері соціального захисту і соціального забезпечення</t>
  </si>
  <si>
    <t>Інші програми, заклади та заходи у сфері освіти</t>
  </si>
  <si>
    <t>7680</t>
  </si>
  <si>
    <t>Забезпечення діяльності палаців і будинків культури, клубів, центрів дозвілля та інших  клубних закладів</t>
  </si>
  <si>
    <t>Інші субвенції з місцевого бюджету</t>
  </si>
  <si>
    <t>Членські внески до асоціацій органів місцевого самоврядування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</si>
  <si>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</si>
  <si>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9770</t>
  </si>
  <si>
    <t xml:space="preserve">Амбулаторно-поліклінічна допомога населенню, крім  первинної медичної допомоги </t>
  </si>
  <si>
    <t>Первинна медична допомога населенню</t>
  </si>
  <si>
    <t>Інша діяльність щодо забезпечення житлом громадян</t>
  </si>
  <si>
    <t>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</si>
  <si>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</si>
  <si>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</si>
  <si>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Забезпечення діяльності інклюзивно-ресурсних центрів</t>
  </si>
  <si>
    <t>Повернення пільгових довгострокових кредитів, наданих молодим сім'ям та одиноким молодим громадянам на будівництво/придбання житла</t>
  </si>
  <si>
    <t>Надання дошкільної  освіти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</si>
  <si>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</si>
  <si>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</si>
  <si>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Організація та проведення громадських робіт</t>
  </si>
  <si>
    <t>1080</t>
  </si>
  <si>
    <t xml:space="preserve">Утримання та забезпечення діяльності центрів соціальних служб </t>
  </si>
  <si>
    <t>Надання загальної середньої освіти  за рахунок коштів місцевого бюджету</t>
  </si>
  <si>
    <t>1022</t>
  </si>
  <si>
    <t>Надання загальної середньої освіти  за рахунок освітньої субвенції</t>
  </si>
  <si>
    <t>1031</t>
  </si>
  <si>
    <t>1032</t>
  </si>
  <si>
    <t>1070</t>
  </si>
  <si>
    <t xml:space="preserve"> Надання позашкільної освіти закладами позашкільної освіти, заходи із позашкільної роботи з дітьми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</si>
  <si>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</si>
  <si>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</si>
  <si>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</si>
  <si>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1101</t>
  </si>
  <si>
    <t>1140</t>
  </si>
  <si>
    <t>1141</t>
  </si>
  <si>
    <t>1142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</si>
  <si>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</si>
  <si>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</si>
  <si>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</si>
  <si>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</si>
  <si>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Забезпечення діяльності центрів професійного розвитку педагогічних працівників</t>
  </si>
  <si>
    <t>Підготовка кадрів закладами професійної (професійно-технічної) освіти та іншими закладами освіти  за рахунок освітньої субвенції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</si>
  <si>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</si>
  <si>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</si>
  <si>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</si>
  <si>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</si>
  <si>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</si>
  <si>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</si>
  <si>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 xml:space="preserve">Податок на прибуток підприємств </t>
  </si>
  <si>
    <t>Рентна плата та плата за використання інших природних ресурсів </t>
  </si>
  <si>
    <t>Внутрішні податки на товари та послуги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</si>
  <si>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</si>
  <si>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</si>
  <si>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</si>
  <si>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</si>
  <si>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</si>
  <si>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</si>
  <si>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</si>
  <si>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Акцизний податок з реалізації суб’єктами господарювання роздрібної торгівлі підакцизних товарів</t>
  </si>
  <si>
    <t xml:space="preserve">Місцеві податки та збори, що сплачуються (перераховуються) згідно з Податковим кодексом України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</si>
  <si>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</si>
  <si>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</si>
  <si>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</si>
  <si>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</si>
  <si>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</si>
  <si>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</si>
  <si>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</si>
  <si>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</si>
  <si>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</si>
  <si>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</si>
  <si>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</si>
  <si>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</si>
  <si>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</si>
  <si>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</si>
  <si>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</si>
  <si>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Екологічний податок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</si>
  <si>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</si>
  <si>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</si>
  <si>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</si>
  <si>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</si>
  <si>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</si>
  <si>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</si>
  <si>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</si>
  <si>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</si>
  <si>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</si>
  <si>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</si>
  <si>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</si>
  <si>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</si>
  <si>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</si>
  <si>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
</t>
  </si>
  <si>
    <t>Відсотки за користування 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</si>
  <si>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</si>
  <si>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РАЗОМ ДОХОДІВ</t>
  </si>
  <si>
    <t xml:space="preserve">Офіційні трансферти 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</si>
  <si>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</si>
  <si>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</si>
  <si>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</si>
  <si>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</si>
  <si>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</si>
  <si>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</si>
  <si>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ВСЬОГО ДОХОДІВ</t>
  </si>
  <si>
    <t>1021</t>
  </si>
  <si>
    <t>Усього</t>
  </si>
  <si>
    <t>Зовнішній борг</t>
  </si>
  <si>
    <t>Заборгованість за довгостроковими  зобов"язаннями (позики банків та фінансових установ)</t>
  </si>
  <si>
    <t>Кошти гарантійного та реєстраційного внесків, що визначені Законом України "Про оренду державного та комунального майна", які підлягають перерахуванню оператором електронного майданчика до відповідного бюджету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</si>
  <si>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</si>
  <si>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</si>
  <si>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</si>
  <si>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7000</t>
  </si>
  <si>
    <t xml:space="preserve"> Економічна діяльність</t>
  </si>
  <si>
    <t>Темп зростання/ уповільнення, %</t>
  </si>
  <si>
    <t>Відхилення, тис. грн</t>
  </si>
  <si>
    <t>ВИДАТКОВА ЧАСТИНА ТА КРЕДИТУВАННЯ  БЮДЖЕТУ МИКОЛАЇВСЬКОЇ МІСЬКОЇ ТЕРИТОРІАЛЬНОЇ ГРОМАДИ</t>
  </si>
  <si>
    <t>ДОХІДНА ЧАСТИНА БЮДЖЕТУ МИКОЛАЇВСЬКОЇ МІСЬКОЇ ТЕРИТОРІАЛЬНОЇ ГРОМАДИ</t>
  </si>
  <si>
    <t>ІНФОРМАЦІЯ ПРО СТАН МІСЦЕВОГО БОРГУ БЮДЖЕТУ МИКОЛАЇВСЬКОЇ МІСЬКОЇ ТЕРИТОРІАЛЬНОЇ ГРОМАДИ</t>
  </si>
  <si>
    <t>Підготовка кадрів закладами фахової передвищої освіти за рахунок коштів місцевого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</si>
  <si>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</si>
  <si>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Попередження аварій та запобігання техногенним катастрофам у житлово-комунальному господарстві та на інших аварійних об'єктах комунальної власності</t>
  </si>
  <si>
    <t>Податок на доходи фізичних осіб із доходів спеціалістів резидента Дія Сіті</t>
  </si>
  <si>
    <t>Інші дотації з місцевого бюджету</t>
  </si>
  <si>
    <t>Дотації з місцевих бюджетів іншим місцевим бюджетам</t>
  </si>
  <si>
    <t>41057700</t>
  </si>
  <si>
    <t>Надходження коштів пайової участі у розвитку інфраструктури населеного пункту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</si>
  <si>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</si>
  <si>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Інші видатки на соціальний захист ветеранів війни та праці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</si>
  <si>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</si>
  <si>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</si>
  <si>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Заходи, пов'язані з поліпшенням питної води</t>
  </si>
  <si>
    <t>Податок на доходи фізичних осіб у вигляді мінімального податкового зобов’язання, що підлягає сплаті фізичними особами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</si>
  <si>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</si>
  <si>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</si>
  <si>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Надходження від орендної плати за користування  майновим комплексом та іншим майном, що перебуває в комунальній власності</t>
  </si>
  <si>
    <t>7330</t>
  </si>
  <si>
    <t>Будівництво  інших об'єктів комунальної власності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</si>
  <si>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</si>
  <si>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</si>
  <si>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8600</t>
  </si>
  <si>
    <t>Обслуговування місцевого боргу</t>
  </si>
  <si>
    <t>Зовнішнє фінансування</t>
  </si>
  <si>
    <t>Податки та збори, не віднесені до інших категорій</t>
  </si>
  <si>
    <t>Плата за ліцензії на провадження діяльності з організації та проведення азартних ігор у залах гральних автоматів</t>
  </si>
  <si>
    <t>Державне мито, не віднесене до інших категорій</t>
  </si>
  <si>
    <t>Доходи від операцій з капіталом</t>
  </si>
  <si>
    <t>Надходження коштів від Державного фонду дорогоцінних металів і дорогоцінного каміння</t>
  </si>
  <si>
    <t>50000000</t>
  </si>
  <si>
    <t>Цільові фонди</t>
  </si>
  <si>
    <t>Субвенція з державного бюджету місцевим бюджетам на відновлення об’єктів критичної інфраструктури в рамках спільного з Міжнародним банком реконструкції та розвитку проекту «Проект розвитку міської інфраструктури – 2»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</si>
  <si>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</si>
  <si>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</si>
  <si>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</si>
  <si>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</si>
  <si>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</si>
  <si>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</si>
  <si>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</si>
  <si>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</si>
  <si>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8300</t>
  </si>
  <si>
    <t>Охорона навколишнього природного середовища</t>
  </si>
  <si>
    <t>8310</t>
  </si>
  <si>
    <t>8312</t>
  </si>
  <si>
    <t>Запобігання та ліквідація забруднення навколишнього природного середовища</t>
  </si>
  <si>
    <t>Утилізація відходів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</si>
  <si>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</si>
  <si>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</si>
  <si>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</si>
  <si>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Збір за забруднення навколишнього природного середовища  </t>
  </si>
  <si>
    <t>Плата за гарантії, надані Верховною Радою Автономної Республіки Крим, міськими та обласними радами</t>
  </si>
  <si>
    <t>Субвенція з місцевого бюджету за рахунок залишку коштів освітньої субвенції, що утворився на початок бюджетного періоду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</si>
  <si>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</si>
  <si>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1403</t>
  </si>
  <si>
    <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4"/>
        <rFont val="Times New Roman"/>
        <family val="1"/>
        <charset val="204"/>
      </rPr>
      <t>пунктами 2 - 5</t>
    </r>
    <r>
      <rPr>
        <sz val="14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4"/>
        <rFont val="Times New Roman"/>
        <family val="1"/>
        <charset val="204"/>
      </rPr>
      <t>пунктами 11 - 14</t>
    </r>
    <r>
      <rPr>
        <sz val="14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</si>
  <si>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r>
  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u/>
        <sz val="14"/>
        <rFont val="Times New Roman"/>
        <family val="1"/>
        <charset val="204"/>
      </rPr>
      <t>абзаці першому</t>
    </r>
    <r>
      <rPr>
        <sz val="14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4"/>
        <rFont val="Times New Roman"/>
        <family val="1"/>
        <charset val="204"/>
      </rPr>
      <t>пунктом 7</t>
    </r>
    <r>
      <rPr>
        <sz val="14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</si>
  <si>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r>
  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4"/>
        <rFont val="Times New Roman"/>
        <family val="1"/>
        <charset val="204"/>
      </rPr>
      <t>пунктів 11 - 14</t>
    </r>
    <r>
      <rPr>
        <sz val="14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4"/>
        <rFont val="Times New Roman"/>
        <family val="1"/>
        <charset val="204"/>
      </rPr>
      <t>пунктів 19 - 21</t>
    </r>
    <r>
      <rPr>
        <sz val="14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</si>
  <si>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410000</t>
  </si>
  <si>
    <t>Заборгованість за довгостроковими зобов'язаннями</t>
  </si>
  <si>
    <t>Внутрішній борг місцевих бюджетів за окремими кодами валют</t>
  </si>
  <si>
    <t>Внутрішній борг в національній валюті</t>
  </si>
  <si>
    <t>в 2,0 р.б.</t>
  </si>
  <si>
    <t>в 1,8 р.б.</t>
  </si>
  <si>
    <t>6086</t>
  </si>
  <si>
    <t>1300</t>
  </si>
  <si>
    <t>Будівництво  освітніх установ та закладів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</si>
  <si>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</si>
  <si>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</si>
  <si>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</si>
  <si>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</si>
  <si>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</si>
  <si>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</si>
  <si>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 2,0 р.б.</t>
  </si>
  <si>
    <t>в 2,8 р.б.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</si>
  <si>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</si>
  <si>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</si>
  <si>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</si>
  <si>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  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</si>
  <si>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</si>
  <si>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</si>
  <si>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«Про державну реєстрацію юридичних осіб, фізичних осіб - підприємців та громадських формувань», а також плата за надання інших платних послуг, пов'язаних з такою державною реєстрацією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</si>
  <si>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</si>
  <si>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</si>
  <si>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</si>
  <si>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</si>
  <si>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місцевого бюджету на здійснення переданих видатків у сфері освіти за рахунок коштів освітньої субвенції</t>
  </si>
  <si>
    <t>6015</t>
  </si>
  <si>
    <t>Забезпечення надійної та безперебійної експлуатації ліфтів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</si>
  <si>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</si>
  <si>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</si>
  <si>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</si>
  <si>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в 1,9 р.б.</t>
  </si>
  <si>
    <t>в 2,1 р.б.</t>
  </si>
  <si>
    <t>8240</t>
  </si>
  <si>
    <t>Заходи та роботи з територіальної оборони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</si>
  <si>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</si>
  <si>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</si>
  <si>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Регіональний розвиток та інші інвестиційні проекти</t>
  </si>
  <si>
    <t>2170</t>
  </si>
  <si>
    <t>5070</t>
  </si>
  <si>
    <t>Будівництво  закладів охорони здоров'я</t>
  </si>
  <si>
    <t>Будівництво  споруд, установ та закладів фізичної культури і спорту</t>
  </si>
  <si>
    <t>Будівництво об'єктів житлово-комунального господарства</t>
  </si>
  <si>
    <t>Інформація про виконання бюджету  Миколаївської міської територіальної громади  за  I  півріччя 2025 року (з динамікою змін порівняно за I півріччя 2024  року)</t>
  </si>
  <si>
    <t>Виконано за I півріччя 2024  року, тис. грн</t>
  </si>
  <si>
    <t>Виконано за  I півріччя 2025 року, тис. грн</t>
  </si>
  <si>
    <t>1210</t>
  </si>
  <si>
    <t>Проведення (надання) додаткових психолого-педагогічних і корекційно-розвиткових занять (послуг)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</si>
  <si>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3110</t>
  </si>
  <si>
    <t>3114</t>
  </si>
  <si>
    <t>Заклади і заходи з питань дітей та їх соціального захисту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</si>
  <si>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</si>
  <si>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3130</t>
  </si>
  <si>
    <t>3133</t>
  </si>
  <si>
    <t>3140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</si>
  <si>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</si>
  <si>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</si>
  <si>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</si>
  <si>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3123</t>
  </si>
  <si>
    <t>Заходи державної політики з питань сім'ї</t>
  </si>
  <si>
    <t>4083</t>
  </si>
  <si>
    <t>Будівництво закладів культури і мистецтва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</si>
  <si>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</si>
  <si>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</si>
  <si>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</si>
  <si>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</si>
  <si>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</si>
  <si>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</si>
  <si>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</si>
  <si>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</si>
  <si>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 2,6 р.б.</t>
  </si>
  <si>
    <t>в 4,6 р.б.</t>
  </si>
  <si>
    <t>в 4,8 р.б.</t>
  </si>
  <si>
    <t>в 11,3 р.б.</t>
  </si>
  <si>
    <t>в 2,5 р.б.</t>
  </si>
  <si>
    <t>3245</t>
  </si>
  <si>
    <t>0170</t>
  </si>
  <si>
    <t>Підвищення кваліфікації депутатів місцевих рад та посадових осіб місцевого самоврядування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</si>
  <si>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</si>
  <si>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</si>
  <si>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</si>
  <si>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в 27,9р.б.</t>
  </si>
  <si>
    <t>в 1,7 р.б.</t>
  </si>
  <si>
    <t>в 1.7 р.б.</t>
  </si>
  <si>
    <t>в 3.0 р.б.</t>
  </si>
  <si>
    <t>у 1,9 р.б.</t>
  </si>
  <si>
    <t>в 1,5 р.б.</t>
  </si>
  <si>
    <t>у 5,3 р.б.</t>
  </si>
  <si>
    <t>в 1,6 р.б.</t>
  </si>
  <si>
    <t>в 3,3 р.б.</t>
  </si>
  <si>
    <t>8821</t>
  </si>
  <si>
    <t>9800</t>
  </si>
  <si>
    <t>5049</t>
  </si>
  <si>
    <t>7370</t>
  </si>
  <si>
    <t>7622</t>
  </si>
  <si>
    <t>Реалізація програм і заходів в галузі туризму та курортів</t>
  </si>
  <si>
    <t>Виконання окремих заходів з реалізації соціального проекту "Активні парки - локації здорової України"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</si>
  <si>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</si>
  <si>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</si>
  <si>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</si>
  <si>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7382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</si>
  <si>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"Проект розвитку міської інфраструктури - 2"</t>
  </si>
  <si>
    <t>8340</t>
  </si>
  <si>
    <t>7410</t>
  </si>
  <si>
    <t>7413</t>
  </si>
  <si>
    <t>Природоохоронні заходи за рахунок цільових фондів</t>
  </si>
  <si>
    <t>Забезпечення надання послуг з перевезення пасажирів автомобільним транспортом</t>
  </si>
  <si>
    <t>Інші заходи у сфері автотранспорту</t>
  </si>
  <si>
    <t>в 30,5 р.б.</t>
  </si>
  <si>
    <t>в 2,4 р.б.</t>
  </si>
  <si>
    <t>в 3,4 р.б.</t>
  </si>
  <si>
    <t>в 5,8 р.б.</t>
  </si>
  <si>
    <t>в 2,3 р.б.</t>
  </si>
  <si>
    <t>в 6,1 р.б.</t>
  </si>
  <si>
    <t>в 8,7 р.б.</t>
  </si>
  <si>
    <t>в 3,7 р.б.</t>
  </si>
  <si>
    <t>в 2,2 р.б.</t>
  </si>
  <si>
    <t>в 7,8 р.б.</t>
  </si>
  <si>
    <t>в 14,7 р.б.</t>
  </si>
  <si>
    <t>в 44,8 р.б.</t>
  </si>
  <si>
    <t>в 54,6 р.б.</t>
  </si>
  <si>
    <t>в 73.8 р.б.</t>
  </si>
  <si>
    <t>в 6,3 р.б.</t>
  </si>
  <si>
    <t>в 52,6 р.б.</t>
  </si>
  <si>
    <t>в 110,8 р.б.</t>
  </si>
  <si>
    <t>в 1122,8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</si>
</sst>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"/>
    <numFmt numFmtId="166" formatCode="0.0_)"/>
    <numFmt numFmtId="167" formatCode="#,##0.000"/>
    <numFmt numFmtId="168" formatCode="#,##0.0"/>
    <numFmt numFmtId="169" formatCode="#,##0.000;\-#,##0.000"/>
    <numFmt numFmtId="170" formatCode="#,##0.000_ ;\-#,##0.000\ "/>
  </numFmts>
  <fonts count="30" x14ac:knownFonts="1"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 Cyr"/>
      <charset val="204"/>
    </font>
    <font>
      <b/>
      <sz val="20"/>
      <name val="Times New Roman"/>
      <family val="1"/>
      <charset val="204"/>
    </font>
    <font>
      <sz val="14"/>
      <name val="Arial Cyr"/>
      <charset val="204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i/>
      <sz val="11"/>
      <name val="Arial Cyr"/>
      <charset val="204"/>
    </font>
    <font>
      <b/>
      <sz val="14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theme="1"/>
      <name val="Arial Cyr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5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167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167" fontId="3" fillId="0" borderId="0" xfId="0" applyNumberFormat="1" applyFont="1"/>
    <xf numFmtId="167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9" fillId="0" borderId="0" xfId="0" applyFont="1"/>
    <xf numFmtId="0" fontId="7" fillId="0" borderId="0" xfId="0" applyFont="1"/>
    <xf numFmtId="0" fontId="14" fillId="0" borderId="0" xfId="0" applyFont="1"/>
    <xf numFmtId="165" fontId="3" fillId="0" borderId="0" xfId="0" applyNumberFormat="1" applyFont="1" applyAlignment="1">
      <alignment horizontal="right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166" fontId="5" fillId="0" borderId="1" xfId="0" applyNumberFormat="1" applyFont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166" fontId="6" fillId="0" borderId="1" xfId="0" applyNumberFormat="1" applyFont="1" applyBorder="1" applyAlignment="1" applyProtection="1">
      <alignment horizontal="left" vertical="top" wrapText="1"/>
      <protection locked="0"/>
    </xf>
    <xf numFmtId="167" fontId="6" fillId="0" borderId="1" xfId="0" applyNumberFormat="1" applyFont="1" applyBorder="1" applyAlignment="1">
      <alignment horizontal="right" vertical="top"/>
    </xf>
    <xf numFmtId="167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49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>
      <alignment horizontal="left" vertical="center" wrapText="1"/>
    </xf>
    <xf numFmtId="167" fontId="23" fillId="0" borderId="1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49" fontId="6" fillId="0" borderId="8" xfId="0" applyNumberFormat="1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left" vertical="center" wrapText="1"/>
    </xf>
    <xf numFmtId="167" fontId="11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166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66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0" fontId="6" fillId="2" borderId="0" xfId="0" applyFont="1" applyFill="1"/>
    <xf numFmtId="167" fontId="7" fillId="2" borderId="1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top"/>
    </xf>
    <xf numFmtId="167" fontId="6" fillId="2" borderId="1" xfId="0" applyNumberFormat="1" applyFont="1" applyFill="1" applyBorder="1" applyAlignment="1">
      <alignment horizontal="right" vertical="center" wrapText="1"/>
    </xf>
    <xf numFmtId="168" fontId="7" fillId="2" borderId="1" xfId="0" applyNumberFormat="1" applyFont="1" applyFill="1" applyBorder="1" applyAlignment="1">
      <alignment horizontal="right" vertical="center" wrapText="1"/>
    </xf>
    <xf numFmtId="168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8" fontId="7" fillId="0" borderId="1" xfId="0" applyNumberFormat="1" applyFont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6" fillId="0" borderId="5" xfId="0" applyFont="1" applyBorder="1" applyAlignment="1">
      <alignment horizontal="left" vertical="center" wrapText="1"/>
    </xf>
    <xf numFmtId="167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9" fontId="20" fillId="0" borderId="2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 applyProtection="1">
      <alignment horizontal="left" vertical="top" wrapText="1"/>
      <protection locked="0"/>
    </xf>
    <xf numFmtId="167" fontId="11" fillId="0" borderId="1" xfId="0" applyNumberFormat="1" applyFont="1" applyBorder="1" applyAlignment="1">
      <alignment horizontal="right" vertical="center" wrapText="1"/>
    </xf>
    <xf numFmtId="49" fontId="7" fillId="2" borderId="1" xfId="0" applyNumberFormat="1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wrapText="1"/>
    </xf>
    <xf numFmtId="167" fontId="7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vertical="top" wrapText="1"/>
    </xf>
    <xf numFmtId="167" fontId="7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70" fontId="20" fillId="0" borderId="2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/>
    <xf numFmtId="0" fontId="27" fillId="0" borderId="2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justify" wrapText="1"/>
    </xf>
    <xf numFmtId="0" fontId="18" fillId="0" borderId="0" xfId="0" applyFont="1"/>
    <xf numFmtId="37" fontId="20" fillId="3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/>
    <xf numFmtId="0" fontId="25" fillId="0" borderId="1" xfId="0" applyFont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vertical="center"/>
    </xf>
    <xf numFmtId="167" fontId="21" fillId="2" borderId="1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164" fontId="24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167" fontId="21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2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167" fontId="21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 wrapText="1"/>
    </xf>
    <xf numFmtId="167" fontId="6" fillId="0" borderId="5" xfId="0" applyNumberFormat="1" applyFont="1" applyBorder="1" applyAlignment="1">
      <alignment horizontal="right" vertical="center" wrapText="1"/>
    </xf>
    <xf numFmtId="168" fontId="6" fillId="0" borderId="5" xfId="0" applyNumberFormat="1" applyFont="1" applyBorder="1" applyAlignment="1">
      <alignment horizontal="right" vertical="center" wrapText="1"/>
    </xf>
    <xf numFmtId="169" fontId="20" fillId="0" borderId="10" xfId="0" applyNumberFormat="1" applyFont="1" applyBorder="1" applyAlignment="1">
      <alignment horizontal="right" vertical="center" wrapText="1"/>
    </xf>
    <xf numFmtId="0" fontId="18" fillId="0" borderId="1" xfId="0" applyFont="1" applyBorder="1"/>
    <xf numFmtId="169" fontId="20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67" fontId="7" fillId="2" borderId="5" xfId="0" applyNumberFormat="1" applyFont="1" applyFill="1" applyBorder="1" applyAlignment="1">
      <alignment horizontal="right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2" borderId="5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1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84"/>
  <sheetViews>
    <sheetView tabSelected="1" view="pageBreakPreview" zoomScale="65" zoomScaleNormal="85" zoomScaleSheetLayoutView="100" workbookViewId="0">
      <pane xSplit="2" ySplit="7" topLeftCell="C56" activePane="bottomRight" state="frozen"/>
      <selection pane="topRight" activeCell="C1" sqref="C1"/>
      <selection pane="bottomLeft" activeCell="A8" sqref="A8"/>
      <selection pane="bottomRight" sqref="A1:J284"/>
    </sheetView>
  </sheetViews>
  <sheetFormatPr defaultColWidth="8.85546875" defaultRowHeight="18.75" x14ac:dyDescent="0.3"/>
  <cols>
    <col min="1" max="1" width="19.28515625" style="5" customWidth="1"/>
    <col min="2" max="2" width="120.28515625" style="6" customWidth="1"/>
    <col min="3" max="3" width="20.7109375" style="7" customWidth="1"/>
    <col min="4" max="4" width="21.28515625" style="7" customWidth="1"/>
    <col min="5" max="5" width="16.28515625" style="8" customWidth="1"/>
    <col min="6" max="6" width="18.140625" style="9" customWidth="1"/>
    <col min="7" max="7" width="20.5703125" style="7" customWidth="1"/>
    <col min="8" max="8" width="21.140625" style="7" customWidth="1"/>
    <col min="9" max="9" width="20.140625" style="7" customWidth="1"/>
    <col min="10" max="10" width="18.85546875" style="26" customWidth="1"/>
    <col min="11" max="16384" width="8.85546875" style="1"/>
  </cols>
  <sheetData>
    <row r="1" spans="1:31" ht="15.75" customHeight="1" x14ac:dyDescent="0.3">
      <c r="H1" s="10"/>
      <c r="I1" s="10"/>
      <c r="J1" s="10"/>
    </row>
    <row r="2" spans="1:31" ht="66" customHeight="1" x14ac:dyDescent="0.2">
      <c r="A2" s="177" t="s">
        <v>381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31" ht="28.5" customHeight="1" x14ac:dyDescent="0.2">
      <c r="A3" s="11"/>
      <c r="B3" s="11"/>
      <c r="C3" s="11"/>
      <c r="D3" s="12"/>
      <c r="E3" s="13"/>
      <c r="F3" s="13"/>
      <c r="G3" s="11"/>
      <c r="H3" s="11"/>
      <c r="I3" s="11"/>
      <c r="J3" s="14"/>
    </row>
    <row r="4" spans="1:31" ht="21" customHeight="1" x14ac:dyDescent="0.2">
      <c r="A4" s="179" t="s">
        <v>2</v>
      </c>
      <c r="B4" s="179" t="s">
        <v>3</v>
      </c>
      <c r="C4" s="178" t="s">
        <v>0</v>
      </c>
      <c r="D4" s="178"/>
      <c r="E4" s="178"/>
      <c r="F4" s="178"/>
      <c r="G4" s="178" t="s">
        <v>1</v>
      </c>
      <c r="H4" s="178"/>
      <c r="I4" s="178"/>
      <c r="J4" s="178"/>
    </row>
    <row r="5" spans="1:31" s="16" customFormat="1" ht="90" customHeight="1" x14ac:dyDescent="0.25">
      <c r="A5" s="179"/>
      <c r="B5" s="179"/>
      <c r="C5" s="2" t="s">
        <v>382</v>
      </c>
      <c r="D5" s="2" t="s">
        <v>383</v>
      </c>
      <c r="E5" s="2" t="s">
        <v>274</v>
      </c>
      <c r="F5" s="15" t="s">
        <v>273</v>
      </c>
      <c r="G5" s="2" t="s">
        <v>382</v>
      </c>
      <c r="H5" s="2" t="s">
        <v>383</v>
      </c>
      <c r="I5" s="2" t="s">
        <v>274</v>
      </c>
      <c r="J5" s="15" t="s">
        <v>273</v>
      </c>
    </row>
    <row r="6" spans="1:31" customFormat="1" ht="24" customHeight="1" x14ac:dyDescent="0.2">
      <c r="A6" s="17">
        <v>1</v>
      </c>
      <c r="B6" s="17">
        <v>2</v>
      </c>
      <c r="C6" s="18">
        <v>3</v>
      </c>
      <c r="D6" s="18">
        <v>4</v>
      </c>
      <c r="E6" s="19">
        <v>5</v>
      </c>
      <c r="F6" s="20">
        <v>6</v>
      </c>
      <c r="G6" s="18">
        <v>7</v>
      </c>
      <c r="H6" s="18">
        <v>8</v>
      </c>
      <c r="I6" s="18">
        <v>9</v>
      </c>
      <c r="J6" s="21">
        <v>10</v>
      </c>
    </row>
    <row r="7" spans="1:31" ht="22.5" customHeight="1" x14ac:dyDescent="0.2">
      <c r="A7" s="180" t="s">
        <v>276</v>
      </c>
      <c r="B7" s="181"/>
      <c r="C7" s="181"/>
      <c r="D7" s="181"/>
      <c r="E7" s="181"/>
      <c r="F7" s="181"/>
      <c r="G7" s="181"/>
      <c r="H7" s="181"/>
      <c r="I7" s="181"/>
      <c r="J7" s="182"/>
    </row>
    <row r="8" spans="1:31" s="22" customFormat="1" x14ac:dyDescent="0.25">
      <c r="A8" s="143">
        <v>10000000</v>
      </c>
      <c r="B8" s="136" t="s">
        <v>204</v>
      </c>
      <c r="C8" s="93">
        <f>C9+C19+C20+C26+C47</f>
        <v>1765246.25</v>
      </c>
      <c r="D8" s="93">
        <f>D9+D19+D20+D26+D47</f>
        <v>2123320.7989999996</v>
      </c>
      <c r="E8" s="29">
        <f>D8-C8</f>
        <v>358074.54899999965</v>
      </c>
      <c r="F8" s="68">
        <f>D8/C8*100</f>
        <v>120.2846797720148</v>
      </c>
      <c r="G8" s="93">
        <f>G45+G46</f>
        <v>449.96899999999999</v>
      </c>
      <c r="H8" s="93">
        <f>H45</f>
        <v>569.29899999999998</v>
      </c>
      <c r="I8" s="29">
        <f>SUM(H8-G8)</f>
        <v>119.32999999999998</v>
      </c>
      <c r="J8" s="68">
        <f>H8/G8*100</f>
        <v>126.51960468387821</v>
      </c>
    </row>
    <row r="9" spans="1:31" s="3" customFormat="1" x14ac:dyDescent="0.25">
      <c r="A9" s="112">
        <v>11000000</v>
      </c>
      <c r="B9" s="38" t="s">
        <v>205</v>
      </c>
      <c r="C9" s="33">
        <f>C10+C17</f>
        <v>1051681.6109999998</v>
      </c>
      <c r="D9" s="33">
        <f>D10+D17</f>
        <v>1284071.49</v>
      </c>
      <c r="E9" s="47">
        <f t="shared" ref="E9:E16" si="0">D9-C9</f>
        <v>232389.87900000019</v>
      </c>
      <c r="F9" s="67">
        <f>D9/C9*100</f>
        <v>122.09698035691909</v>
      </c>
      <c r="G9" s="33"/>
      <c r="H9" s="33"/>
      <c r="I9" s="47"/>
      <c r="J9" s="76"/>
      <c r="AE9" s="1"/>
    </row>
    <row r="10" spans="1:31" s="3" customFormat="1" x14ac:dyDescent="0.25">
      <c r="A10" s="112">
        <v>11010000</v>
      </c>
      <c r="B10" s="38" t="s">
        <v>206</v>
      </c>
      <c r="C10" s="126">
        <f>SUM(C11:C16)</f>
        <v>1049304.7209999999</v>
      </c>
      <c r="D10" s="33">
        <f>D11+D12+D13+D14+D15+D16</f>
        <v>1278995.551</v>
      </c>
      <c r="E10" s="47">
        <f t="shared" si="0"/>
        <v>229690.83000000007</v>
      </c>
      <c r="F10" s="67">
        <f>D10/C10*100</f>
        <v>121.8898119300466</v>
      </c>
      <c r="G10" s="33"/>
      <c r="H10" s="33"/>
      <c r="I10" s="47"/>
      <c r="J10" s="76"/>
    </row>
    <row r="11" spans="1:31" s="3" customFormat="1" ht="37.5" x14ac:dyDescent="0.25">
      <c r="A11" s="112">
        <v>11010100</v>
      </c>
      <c r="B11" s="38" t="s">
        <v>207</v>
      </c>
      <c r="C11" s="126">
        <v>997879.848</v>
      </c>
      <c r="D11" s="33">
        <v>1194581.325</v>
      </c>
      <c r="E11" s="47">
        <f>D11-C11</f>
        <v>196701.47699999996</v>
      </c>
      <c r="F11" s="67">
        <f t="shared" ref="F11" si="1">D11/C11*100</f>
        <v>119.71194000903402</v>
      </c>
      <c r="G11" s="33"/>
      <c r="H11" s="33"/>
      <c r="I11" s="47"/>
      <c r="J11" s="76"/>
    </row>
    <row r="12" spans="1:31" s="3" customFormat="1" ht="56.25" x14ac:dyDescent="0.25">
      <c r="A12" s="144">
        <v>11010200</v>
      </c>
      <c r="B12" s="38" t="s">
        <v>311</v>
      </c>
      <c r="C12" s="126"/>
      <c r="D12" s="33"/>
      <c r="E12" s="47"/>
      <c r="F12" s="67"/>
      <c r="G12" s="33"/>
      <c r="H12" s="33"/>
      <c r="I12" s="47"/>
      <c r="J12" s="76"/>
    </row>
    <row r="13" spans="1:31" s="3" customFormat="1" ht="37.5" x14ac:dyDescent="0.25">
      <c r="A13" s="144">
        <v>11010400</v>
      </c>
      <c r="B13" s="38" t="s">
        <v>208</v>
      </c>
      <c r="C13" s="126">
        <v>32152.618999999999</v>
      </c>
      <c r="D13" s="33">
        <v>44072.08</v>
      </c>
      <c r="E13" s="47">
        <f t="shared" si="0"/>
        <v>11919.461000000003</v>
      </c>
      <c r="F13" s="67">
        <f t="shared" ref="F13:F14" si="2">D13/C13*100</f>
        <v>137.07150885593489</v>
      </c>
      <c r="G13" s="33"/>
      <c r="H13" s="33"/>
      <c r="I13" s="47"/>
      <c r="J13" s="76"/>
    </row>
    <row r="14" spans="1:31" s="3" customFormat="1" ht="37.5" x14ac:dyDescent="0.25">
      <c r="A14" s="144">
        <v>11010500</v>
      </c>
      <c r="B14" s="38" t="s">
        <v>209</v>
      </c>
      <c r="C14" s="126">
        <v>18718.838</v>
      </c>
      <c r="D14" s="33">
        <v>25564.473000000002</v>
      </c>
      <c r="E14" s="47">
        <f t="shared" si="0"/>
        <v>6845.635000000002</v>
      </c>
      <c r="F14" s="67">
        <f t="shared" si="2"/>
        <v>136.57083308269458</v>
      </c>
      <c r="G14" s="33"/>
      <c r="H14" s="33"/>
      <c r="I14" s="47"/>
      <c r="J14" s="76"/>
    </row>
    <row r="15" spans="1:31" s="3" customFormat="1" x14ac:dyDescent="0.25">
      <c r="A15" s="144">
        <v>11011200</v>
      </c>
      <c r="B15" s="38" t="s">
        <v>281</v>
      </c>
      <c r="C15" s="126">
        <v>529.58699999999999</v>
      </c>
      <c r="D15" s="33">
        <v>14777.673000000001</v>
      </c>
      <c r="E15" s="47">
        <f t="shared" si="0"/>
        <v>14248.086000000001</v>
      </c>
      <c r="F15" s="67" t="s">
        <v>419</v>
      </c>
      <c r="G15" s="33"/>
      <c r="H15" s="33"/>
      <c r="I15" s="47"/>
      <c r="J15" s="76"/>
    </row>
    <row r="16" spans="1:31" s="3" customFormat="1" ht="37.5" x14ac:dyDescent="0.25">
      <c r="A16" s="144">
        <v>11011300</v>
      </c>
      <c r="B16" s="38" t="s">
        <v>291</v>
      </c>
      <c r="C16" s="126">
        <v>23.829000000000001</v>
      </c>
      <c r="D16" s="33"/>
      <c r="E16" s="47">
        <f t="shared" si="0"/>
        <v>-23.829000000000001</v>
      </c>
      <c r="F16" s="67"/>
      <c r="G16" s="33"/>
      <c r="H16" s="33"/>
      <c r="I16" s="47"/>
      <c r="J16" s="76"/>
    </row>
    <row r="17" spans="1:10" s="3" customFormat="1" x14ac:dyDescent="0.25">
      <c r="A17" s="112">
        <v>11020000</v>
      </c>
      <c r="B17" s="38" t="s">
        <v>210</v>
      </c>
      <c r="C17" s="126">
        <f>C18</f>
        <v>2376.89</v>
      </c>
      <c r="D17" s="33">
        <f>D18</f>
        <v>5075.9390000000003</v>
      </c>
      <c r="E17" s="47">
        <f>D17-C17</f>
        <v>2699.0490000000004</v>
      </c>
      <c r="F17" s="67" t="s">
        <v>370</v>
      </c>
      <c r="G17" s="33"/>
      <c r="H17" s="33"/>
      <c r="I17" s="47"/>
      <c r="J17" s="76"/>
    </row>
    <row r="18" spans="1:10" s="4" customFormat="1" x14ac:dyDescent="0.3">
      <c r="A18" s="112">
        <v>11020200</v>
      </c>
      <c r="B18" s="38" t="s">
        <v>352</v>
      </c>
      <c r="C18" s="126">
        <v>2376.89</v>
      </c>
      <c r="D18" s="33">
        <v>5075.9390000000003</v>
      </c>
      <c r="E18" s="47">
        <f>D18-C18</f>
        <v>2699.0490000000004</v>
      </c>
      <c r="F18" s="67" t="s">
        <v>370</v>
      </c>
      <c r="G18" s="33"/>
      <c r="H18" s="33"/>
      <c r="I18" s="47"/>
      <c r="J18" s="76"/>
    </row>
    <row r="19" spans="1:10" s="3" customFormat="1" x14ac:dyDescent="0.25">
      <c r="A19" s="112">
        <v>13000000</v>
      </c>
      <c r="B19" s="74" t="s">
        <v>211</v>
      </c>
      <c r="C19" s="126">
        <v>30.093</v>
      </c>
      <c r="D19" s="33">
        <v>28.768000000000001</v>
      </c>
      <c r="E19" s="47">
        <f>D19-C19</f>
        <v>-1.3249999999999993</v>
      </c>
      <c r="F19" s="67">
        <f t="shared" ref="F19" si="3">D19/C19*100</f>
        <v>95.596982687003631</v>
      </c>
      <c r="G19" s="33"/>
      <c r="H19" s="33"/>
      <c r="I19" s="47"/>
      <c r="J19" s="76"/>
    </row>
    <row r="20" spans="1:10" s="3" customFormat="1" x14ac:dyDescent="0.25">
      <c r="A20" s="112">
        <v>14000000</v>
      </c>
      <c r="B20" s="38" t="s">
        <v>212</v>
      </c>
      <c r="C20" s="33">
        <f>C21+C23+C25</f>
        <v>169184.40700000001</v>
      </c>
      <c r="D20" s="33">
        <f>D21+D23+D25</f>
        <v>221812.527</v>
      </c>
      <c r="E20" s="47">
        <f t="shared" ref="E20:E44" si="4">D20-C20</f>
        <v>52628.119999999995</v>
      </c>
      <c r="F20" s="67">
        <f t="shared" ref="F20:F86" si="5">D20/C20*100</f>
        <v>131.10695656485646</v>
      </c>
      <c r="G20" s="33"/>
      <c r="H20" s="33"/>
      <c r="I20" s="47"/>
      <c r="J20" s="76"/>
    </row>
    <row r="21" spans="1:10" s="3" customFormat="1" x14ac:dyDescent="0.25">
      <c r="A21" s="145" t="s">
        <v>213</v>
      </c>
      <c r="B21" s="38" t="s">
        <v>214</v>
      </c>
      <c r="C21" s="33">
        <f>C22</f>
        <v>7898.3980000000001</v>
      </c>
      <c r="D21" s="33">
        <f>D22</f>
        <v>13048.692999999999</v>
      </c>
      <c r="E21" s="47">
        <f t="shared" si="4"/>
        <v>5150.2949999999992</v>
      </c>
      <c r="F21" s="67" t="s">
        <v>420</v>
      </c>
      <c r="G21" s="33"/>
      <c r="H21" s="33"/>
      <c r="I21" s="47"/>
      <c r="J21" s="76"/>
    </row>
    <row r="22" spans="1:10" s="3" customFormat="1" x14ac:dyDescent="0.25">
      <c r="A22" s="145" t="s">
        <v>215</v>
      </c>
      <c r="B22" s="38" t="s">
        <v>216</v>
      </c>
      <c r="C22" s="126">
        <v>7898.3980000000001</v>
      </c>
      <c r="D22" s="33">
        <v>13048.692999999999</v>
      </c>
      <c r="E22" s="47">
        <f t="shared" si="4"/>
        <v>5150.2949999999992</v>
      </c>
      <c r="F22" s="67" t="s">
        <v>420</v>
      </c>
      <c r="G22" s="33"/>
      <c r="H22" s="33"/>
      <c r="I22" s="47"/>
      <c r="J22" s="76"/>
    </row>
    <row r="23" spans="1:10" s="3" customFormat="1" x14ac:dyDescent="0.25">
      <c r="A23" s="145" t="s">
        <v>217</v>
      </c>
      <c r="B23" s="38" t="s">
        <v>218</v>
      </c>
      <c r="C23" s="33">
        <f>C24</f>
        <v>43628.122000000003</v>
      </c>
      <c r="D23" s="33">
        <f>D24</f>
        <v>66251.762000000002</v>
      </c>
      <c r="E23" s="47">
        <f t="shared" si="4"/>
        <v>22623.64</v>
      </c>
      <c r="F23" s="67" t="s">
        <v>424</v>
      </c>
      <c r="G23" s="33"/>
      <c r="H23" s="33"/>
      <c r="I23" s="47"/>
      <c r="J23" s="76"/>
    </row>
    <row r="24" spans="1:10" s="3" customFormat="1" x14ac:dyDescent="0.25">
      <c r="A24" s="145" t="s">
        <v>219</v>
      </c>
      <c r="B24" s="38" t="s">
        <v>216</v>
      </c>
      <c r="C24" s="126">
        <v>43628.122000000003</v>
      </c>
      <c r="D24" s="33">
        <v>66251.762000000002</v>
      </c>
      <c r="E24" s="47">
        <f t="shared" si="4"/>
        <v>22623.64</v>
      </c>
      <c r="F24" s="67" t="s">
        <v>424</v>
      </c>
      <c r="G24" s="33"/>
      <c r="H24" s="33"/>
      <c r="I24" s="47"/>
      <c r="J24" s="76"/>
    </row>
    <row r="25" spans="1:10" s="3" customFormat="1" ht="37.5" x14ac:dyDescent="0.25">
      <c r="A25" s="112">
        <v>14040000</v>
      </c>
      <c r="B25" s="38" t="s">
        <v>220</v>
      </c>
      <c r="C25" s="126">
        <v>117657.887</v>
      </c>
      <c r="D25" s="33">
        <v>142512.07199999999</v>
      </c>
      <c r="E25" s="47">
        <f t="shared" si="4"/>
        <v>24854.184999999983</v>
      </c>
      <c r="F25" s="67">
        <f t="shared" ref="F25" si="6">D25/C25*100</f>
        <v>121.12411299720178</v>
      </c>
      <c r="G25" s="33"/>
      <c r="H25" s="33"/>
      <c r="I25" s="47"/>
      <c r="J25" s="76"/>
    </row>
    <row r="26" spans="1:10" s="3" customFormat="1" ht="37.5" x14ac:dyDescent="0.25">
      <c r="A26" s="112">
        <v>18000000</v>
      </c>
      <c r="B26" s="38" t="s">
        <v>221</v>
      </c>
      <c r="C26" s="33">
        <f>C27+C38+C41</f>
        <v>544350.64100000006</v>
      </c>
      <c r="D26" s="33">
        <f>D27+D38+D41</f>
        <v>617408.01399999997</v>
      </c>
      <c r="E26" s="47">
        <f t="shared" si="4"/>
        <v>73057.372999999905</v>
      </c>
      <c r="F26" s="67">
        <f t="shared" si="5"/>
        <v>113.42101349707052</v>
      </c>
      <c r="G26" s="33"/>
      <c r="H26" s="33"/>
      <c r="I26" s="47"/>
      <c r="J26" s="76"/>
    </row>
    <row r="27" spans="1:10" s="3" customFormat="1" x14ac:dyDescent="0.25">
      <c r="A27" s="112">
        <v>18010000</v>
      </c>
      <c r="B27" s="38" t="s">
        <v>222</v>
      </c>
      <c r="C27" s="33">
        <f>SUM(C28:C37)</f>
        <v>202103.65599999999</v>
      </c>
      <c r="D27" s="33">
        <f>SUM(D28:D37)</f>
        <v>248771.81399999998</v>
      </c>
      <c r="E27" s="47">
        <f t="shared" si="4"/>
        <v>46668.157999999996</v>
      </c>
      <c r="F27" s="67">
        <f t="shared" si="5"/>
        <v>123.09119930022443</v>
      </c>
      <c r="G27" s="33"/>
      <c r="H27" s="33"/>
      <c r="I27" s="47"/>
      <c r="J27" s="76"/>
    </row>
    <row r="28" spans="1:10" s="3" customFormat="1" ht="37.5" x14ac:dyDescent="0.25">
      <c r="A28" s="112">
        <v>18010100</v>
      </c>
      <c r="B28" s="38" t="s">
        <v>223</v>
      </c>
      <c r="C28" s="61">
        <v>218.678</v>
      </c>
      <c r="D28" s="33">
        <v>174.38499999999999</v>
      </c>
      <c r="E28" s="47">
        <f t="shared" si="4"/>
        <v>-44.293000000000006</v>
      </c>
      <c r="F28" s="67">
        <f t="shared" si="5"/>
        <v>79.745104674452847</v>
      </c>
      <c r="G28" s="33"/>
      <c r="H28" s="33"/>
      <c r="I28" s="47"/>
      <c r="J28" s="76"/>
    </row>
    <row r="29" spans="1:10" s="3" customFormat="1" ht="37.5" x14ac:dyDescent="0.25">
      <c r="A29" s="89">
        <v>18010200</v>
      </c>
      <c r="B29" s="38" t="s">
        <v>224</v>
      </c>
      <c r="C29" s="61">
        <v>1439.2190000000001</v>
      </c>
      <c r="D29" s="33">
        <v>2446.7170000000001</v>
      </c>
      <c r="E29" s="47">
        <f t="shared" si="4"/>
        <v>1007.498</v>
      </c>
      <c r="F29" s="67" t="s">
        <v>421</v>
      </c>
      <c r="G29" s="33"/>
      <c r="H29" s="33"/>
      <c r="I29" s="47"/>
      <c r="J29" s="76"/>
    </row>
    <row r="30" spans="1:10" s="3" customFormat="1" ht="37.5" x14ac:dyDescent="0.25">
      <c r="A30" s="112">
        <v>18010300</v>
      </c>
      <c r="B30" s="38" t="s">
        <v>353</v>
      </c>
      <c r="C30" s="61">
        <v>5011.7120000000004</v>
      </c>
      <c r="D30" s="33">
        <v>4608.0110000000004</v>
      </c>
      <c r="E30" s="47">
        <f t="shared" si="4"/>
        <v>-403.70100000000002</v>
      </c>
      <c r="F30" s="67">
        <f t="shared" si="5"/>
        <v>91.944848387137966</v>
      </c>
      <c r="G30" s="33"/>
      <c r="H30" s="33"/>
      <c r="I30" s="47"/>
      <c r="J30" s="76"/>
    </row>
    <row r="31" spans="1:10" s="3" customFormat="1" ht="37.5" x14ac:dyDescent="0.25">
      <c r="A31" s="112">
        <v>18010400</v>
      </c>
      <c r="B31" s="38" t="s">
        <v>354</v>
      </c>
      <c r="C31" s="61">
        <v>27215.646000000001</v>
      </c>
      <c r="D31" s="33">
        <v>35042.68</v>
      </c>
      <c r="E31" s="47">
        <f t="shared" si="4"/>
        <v>7827.0339999999997</v>
      </c>
      <c r="F31" s="67">
        <f t="shared" si="5"/>
        <v>128.75931734267854</v>
      </c>
      <c r="G31" s="33"/>
      <c r="H31" s="33"/>
      <c r="I31" s="47"/>
      <c r="J31" s="76"/>
    </row>
    <row r="32" spans="1:10" s="3" customFormat="1" x14ac:dyDescent="0.25">
      <c r="A32" s="112">
        <v>18010500</v>
      </c>
      <c r="B32" s="38" t="s">
        <v>355</v>
      </c>
      <c r="C32" s="61">
        <v>48167.074999999997</v>
      </c>
      <c r="D32" s="33">
        <v>62009.169000000002</v>
      </c>
      <c r="E32" s="47">
        <f t="shared" si="4"/>
        <v>13842.094000000005</v>
      </c>
      <c r="F32" s="67">
        <f t="shared" si="5"/>
        <v>128.7376677948578</v>
      </c>
      <c r="G32" s="33"/>
      <c r="H32" s="33"/>
      <c r="I32" s="47"/>
      <c r="J32" s="76"/>
    </row>
    <row r="33" spans="1:10" s="3" customFormat="1" x14ac:dyDescent="0.25">
      <c r="A33" s="112">
        <v>18010600</v>
      </c>
      <c r="B33" s="38" t="s">
        <v>225</v>
      </c>
      <c r="C33" s="61">
        <v>101803.77</v>
      </c>
      <c r="D33" s="33">
        <v>120771.022</v>
      </c>
      <c r="E33" s="47">
        <f t="shared" si="4"/>
        <v>18967.251999999993</v>
      </c>
      <c r="F33" s="67">
        <f t="shared" si="5"/>
        <v>118.63118821631065</v>
      </c>
      <c r="G33" s="33"/>
      <c r="H33" s="33"/>
      <c r="I33" s="47"/>
      <c r="J33" s="76"/>
    </row>
    <row r="34" spans="1:10" s="3" customFormat="1" x14ac:dyDescent="0.25">
      <c r="A34" s="112">
        <v>18010700</v>
      </c>
      <c r="B34" s="38" t="s">
        <v>226</v>
      </c>
      <c r="C34" s="61">
        <v>3891.9409999999998</v>
      </c>
      <c r="D34" s="33">
        <v>5355.6149999999998</v>
      </c>
      <c r="E34" s="47">
        <f t="shared" si="4"/>
        <v>1463.674</v>
      </c>
      <c r="F34" s="67">
        <f t="shared" si="5"/>
        <v>137.60781574026944</v>
      </c>
      <c r="G34" s="33"/>
      <c r="H34" s="33"/>
      <c r="I34" s="47"/>
      <c r="J34" s="76"/>
    </row>
    <row r="35" spans="1:10" s="3" customFormat="1" x14ac:dyDescent="0.25">
      <c r="A35" s="112">
        <v>18010900</v>
      </c>
      <c r="B35" s="38" t="s">
        <v>227</v>
      </c>
      <c r="C35" s="61">
        <v>13343.395</v>
      </c>
      <c r="D35" s="33">
        <v>17811.120999999999</v>
      </c>
      <c r="E35" s="47">
        <f t="shared" si="4"/>
        <v>4467.7259999999987</v>
      </c>
      <c r="F35" s="67">
        <f t="shared" si="5"/>
        <v>133.4826781340131</v>
      </c>
      <c r="G35" s="33"/>
      <c r="H35" s="33"/>
      <c r="I35" s="47"/>
      <c r="J35" s="76"/>
    </row>
    <row r="36" spans="1:10" s="3" customFormat="1" x14ac:dyDescent="0.25">
      <c r="A36" s="112">
        <v>18011000</v>
      </c>
      <c r="B36" s="38" t="s">
        <v>228</v>
      </c>
      <c r="C36" s="61">
        <v>790.74300000000005</v>
      </c>
      <c r="D36" s="33">
        <v>298.32900000000001</v>
      </c>
      <c r="E36" s="47">
        <f t="shared" si="4"/>
        <v>-492.41400000000004</v>
      </c>
      <c r="F36" s="67">
        <f t="shared" si="5"/>
        <v>37.72768143379075</v>
      </c>
      <c r="G36" s="33"/>
      <c r="H36" s="33"/>
      <c r="I36" s="47"/>
      <c r="J36" s="76"/>
    </row>
    <row r="37" spans="1:10" s="3" customFormat="1" x14ac:dyDescent="0.25">
      <c r="A37" s="112">
        <v>18011100</v>
      </c>
      <c r="B37" s="38" t="s">
        <v>229</v>
      </c>
      <c r="C37" s="61">
        <v>221.477</v>
      </c>
      <c r="D37" s="33">
        <v>254.76499999999999</v>
      </c>
      <c r="E37" s="47">
        <f>D37-C37</f>
        <v>33.287999999999982</v>
      </c>
      <c r="F37" s="67">
        <f t="shared" si="5"/>
        <v>115.03000311544764</v>
      </c>
      <c r="G37" s="33"/>
      <c r="H37" s="33"/>
      <c r="I37" s="47"/>
      <c r="J37" s="76"/>
    </row>
    <row r="38" spans="1:10" s="3" customFormat="1" x14ac:dyDescent="0.25">
      <c r="A38" s="112">
        <v>18030000</v>
      </c>
      <c r="B38" s="38" t="s">
        <v>230</v>
      </c>
      <c r="C38" s="33">
        <f>C39+C40</f>
        <v>662.52</v>
      </c>
      <c r="D38" s="33">
        <f>D39+D40</f>
        <v>700.59100000000001</v>
      </c>
      <c r="E38" s="47">
        <f t="shared" si="4"/>
        <v>38.071000000000026</v>
      </c>
      <c r="F38" s="67">
        <f t="shared" si="5"/>
        <v>105.746392561734</v>
      </c>
      <c r="G38" s="33"/>
      <c r="H38" s="33"/>
      <c r="I38" s="47"/>
      <c r="J38" s="76"/>
    </row>
    <row r="39" spans="1:10" s="3" customFormat="1" x14ac:dyDescent="0.25">
      <c r="A39" s="112">
        <v>18030100</v>
      </c>
      <c r="B39" s="38" t="s">
        <v>231</v>
      </c>
      <c r="C39" s="61">
        <v>217.148</v>
      </c>
      <c r="D39" s="33">
        <v>216.09899999999999</v>
      </c>
      <c r="E39" s="47">
        <f t="shared" si="4"/>
        <v>-1.0490000000000066</v>
      </c>
      <c r="F39" s="67">
        <f t="shared" ref="F39:F41" si="7">D39/C39*100</f>
        <v>99.516919336120978</v>
      </c>
      <c r="G39" s="33"/>
      <c r="H39" s="33"/>
      <c r="I39" s="47"/>
      <c r="J39" s="76"/>
    </row>
    <row r="40" spans="1:10" s="3" customFormat="1" x14ac:dyDescent="0.25">
      <c r="A40" s="112">
        <v>18030200</v>
      </c>
      <c r="B40" s="38" t="s">
        <v>232</v>
      </c>
      <c r="C40" s="61">
        <v>445.37200000000001</v>
      </c>
      <c r="D40" s="33">
        <v>484.49200000000002</v>
      </c>
      <c r="E40" s="47">
        <f t="shared" si="4"/>
        <v>39.120000000000005</v>
      </c>
      <c r="F40" s="67">
        <f t="shared" si="7"/>
        <v>108.78366848387415</v>
      </c>
      <c r="G40" s="33"/>
      <c r="H40" s="33"/>
      <c r="I40" s="47"/>
      <c r="J40" s="76"/>
    </row>
    <row r="41" spans="1:10" s="3" customFormat="1" x14ac:dyDescent="0.25">
      <c r="A41" s="112">
        <v>18050000</v>
      </c>
      <c r="B41" s="38" t="s">
        <v>233</v>
      </c>
      <c r="C41" s="33">
        <f>C42+C43+C44</f>
        <v>341584.46500000003</v>
      </c>
      <c r="D41" s="33">
        <f>D42+D43+D44</f>
        <v>367935.60899999994</v>
      </c>
      <c r="E41" s="47">
        <f t="shared" si="4"/>
        <v>26351.143999999913</v>
      </c>
      <c r="F41" s="67">
        <f t="shared" si="7"/>
        <v>107.7143859572185</v>
      </c>
      <c r="G41" s="33"/>
      <c r="H41" s="33"/>
      <c r="I41" s="47"/>
      <c r="J41" s="76"/>
    </row>
    <row r="42" spans="1:10" s="3" customFormat="1" x14ac:dyDescent="0.25">
      <c r="A42" s="112">
        <v>18050300</v>
      </c>
      <c r="B42" s="38" t="s">
        <v>234</v>
      </c>
      <c r="C42" s="61">
        <v>50098.114999999998</v>
      </c>
      <c r="D42" s="33">
        <v>51399.256999999998</v>
      </c>
      <c r="E42" s="47">
        <f t="shared" si="4"/>
        <v>1301.1419999999998</v>
      </c>
      <c r="F42" s="67">
        <f t="shared" si="5"/>
        <v>102.59718753889243</v>
      </c>
      <c r="G42" s="33"/>
      <c r="H42" s="33"/>
      <c r="I42" s="47"/>
      <c r="J42" s="76"/>
    </row>
    <row r="43" spans="1:10" s="3" customFormat="1" x14ac:dyDescent="0.25">
      <c r="A43" s="112">
        <v>18050400</v>
      </c>
      <c r="B43" s="38" t="s">
        <v>235</v>
      </c>
      <c r="C43" s="61">
        <v>291481.17800000001</v>
      </c>
      <c r="D43" s="33">
        <v>316521.67</v>
      </c>
      <c r="E43" s="47">
        <f t="shared" si="4"/>
        <v>25040.491999999969</v>
      </c>
      <c r="F43" s="67">
        <f t="shared" si="5"/>
        <v>108.59077494190721</v>
      </c>
      <c r="G43" s="33"/>
      <c r="H43" s="33"/>
      <c r="I43" s="47"/>
      <c r="J43" s="76"/>
    </row>
    <row r="44" spans="1:10" s="3" customFormat="1" ht="56.25" x14ac:dyDescent="0.25">
      <c r="A44" s="112">
        <v>18050500</v>
      </c>
      <c r="B44" s="38" t="s">
        <v>236</v>
      </c>
      <c r="C44" s="61">
        <v>5.1719999999999997</v>
      </c>
      <c r="D44" s="33">
        <v>14.682</v>
      </c>
      <c r="E44" s="47">
        <f t="shared" si="4"/>
        <v>9.5100000000000016</v>
      </c>
      <c r="F44" s="67" t="s">
        <v>351</v>
      </c>
      <c r="G44" s="33"/>
      <c r="H44" s="33"/>
      <c r="I44" s="47"/>
      <c r="J44" s="76"/>
    </row>
    <row r="45" spans="1:10" s="3" customFormat="1" x14ac:dyDescent="0.25">
      <c r="A45" s="112">
        <v>19010000</v>
      </c>
      <c r="B45" s="38" t="s">
        <v>237</v>
      </c>
      <c r="C45" s="33"/>
      <c r="D45" s="33"/>
      <c r="E45" s="47"/>
      <c r="F45" s="67"/>
      <c r="G45" s="33">
        <v>449.96899999999999</v>
      </c>
      <c r="H45" s="33">
        <v>569.29899999999998</v>
      </c>
      <c r="I45" s="47">
        <f>SUM(H45-G45)</f>
        <v>119.32999999999998</v>
      </c>
      <c r="J45" s="67">
        <f>H45/G45*100</f>
        <v>126.51960468387821</v>
      </c>
    </row>
    <row r="46" spans="1:10" s="3" customFormat="1" x14ac:dyDescent="0.25">
      <c r="A46" s="112">
        <v>19050000</v>
      </c>
      <c r="B46" s="38" t="s">
        <v>327</v>
      </c>
      <c r="C46" s="33"/>
      <c r="D46" s="33"/>
      <c r="E46" s="47"/>
      <c r="F46" s="67"/>
      <c r="G46" s="33"/>
      <c r="H46" s="33"/>
      <c r="I46" s="47"/>
      <c r="J46" s="76"/>
    </row>
    <row r="47" spans="1:10" s="3" customFormat="1" x14ac:dyDescent="0.25">
      <c r="A47" s="112">
        <v>19090500</v>
      </c>
      <c r="B47" s="38" t="s">
        <v>302</v>
      </c>
      <c r="C47" s="126">
        <v>-0.502</v>
      </c>
      <c r="D47" s="33"/>
      <c r="E47" s="47">
        <f>D47-C47</f>
        <v>0.502</v>
      </c>
      <c r="F47" s="67"/>
      <c r="G47" s="33"/>
      <c r="H47" s="33"/>
      <c r="I47" s="47"/>
      <c r="J47" s="76"/>
    </row>
    <row r="48" spans="1:10" s="22" customFormat="1" x14ac:dyDescent="0.25">
      <c r="A48" s="143">
        <v>20000000</v>
      </c>
      <c r="B48" s="136" t="s">
        <v>238</v>
      </c>
      <c r="C48" s="93">
        <f>C49+C58+C70</f>
        <v>37202.830999999998</v>
      </c>
      <c r="D48" s="93">
        <f>D49+D58+D70</f>
        <v>34811.078999999998</v>
      </c>
      <c r="E48" s="29">
        <f>D48-C48</f>
        <v>-2391.7520000000004</v>
      </c>
      <c r="F48" s="68">
        <f t="shared" si="5"/>
        <v>93.571048396827649</v>
      </c>
      <c r="G48" s="29">
        <f>G70+G79</f>
        <v>134913.86000000002</v>
      </c>
      <c r="H48" s="29">
        <f>H70+H79</f>
        <v>260135.15599999999</v>
      </c>
      <c r="I48" s="29">
        <f>SUM(H48-G48)</f>
        <v>125221.29599999997</v>
      </c>
      <c r="J48" s="68" t="s">
        <v>369</v>
      </c>
    </row>
    <row r="49" spans="1:10" s="3" customFormat="1" x14ac:dyDescent="0.25">
      <c r="A49" s="112">
        <v>21000000</v>
      </c>
      <c r="B49" s="38" t="s">
        <v>239</v>
      </c>
      <c r="C49" s="33">
        <f>C50</f>
        <v>5578.2840000000006</v>
      </c>
      <c r="D49" s="33">
        <f>D50</f>
        <v>11278.261999999999</v>
      </c>
      <c r="E49" s="47">
        <f>D49-C49</f>
        <v>5699.9779999999982</v>
      </c>
      <c r="F49" s="67" t="s">
        <v>339</v>
      </c>
      <c r="G49" s="33"/>
      <c r="H49" s="33"/>
      <c r="I49" s="47"/>
      <c r="J49" s="150"/>
    </row>
    <row r="50" spans="1:10" s="3" customFormat="1" x14ac:dyDescent="0.25">
      <c r="A50" s="112">
        <v>21080000</v>
      </c>
      <c r="B50" s="38" t="s">
        <v>240</v>
      </c>
      <c r="C50" s="33">
        <f>C51+C52+C56+C53+C54+C55+C57</f>
        <v>5578.2840000000006</v>
      </c>
      <c r="D50" s="33">
        <f>D51+D52+D56+D53+D54+D55+D57</f>
        <v>11278.261999999999</v>
      </c>
      <c r="E50" s="47">
        <f>D50-C50</f>
        <v>5699.9779999999982</v>
      </c>
      <c r="F50" s="67" t="s">
        <v>339</v>
      </c>
      <c r="G50" s="33"/>
      <c r="H50" s="33"/>
      <c r="I50" s="47"/>
      <c r="J50" s="150"/>
    </row>
    <row r="51" spans="1:10" s="3" customFormat="1" x14ac:dyDescent="0.25">
      <c r="A51" s="112">
        <v>21080500</v>
      </c>
      <c r="B51" s="38" t="s">
        <v>240</v>
      </c>
      <c r="C51" s="33"/>
      <c r="D51" s="33"/>
      <c r="E51" s="47"/>
      <c r="F51" s="67"/>
      <c r="G51" s="33"/>
      <c r="H51" s="33"/>
      <c r="I51" s="47"/>
      <c r="J51" s="150"/>
    </row>
    <row r="52" spans="1:10" s="3" customFormat="1" ht="56.25" x14ac:dyDescent="0.25">
      <c r="A52" s="112">
        <v>21080900</v>
      </c>
      <c r="B52" s="137" t="s">
        <v>312</v>
      </c>
      <c r="C52" s="33"/>
      <c r="D52" s="33">
        <v>-1.7749999999999999</v>
      </c>
      <c r="E52" s="47">
        <f>D52-C52</f>
        <v>-1.7749999999999999</v>
      </c>
      <c r="F52" s="67"/>
      <c r="G52" s="33"/>
      <c r="H52" s="33"/>
      <c r="I52" s="47"/>
      <c r="J52" s="150"/>
    </row>
    <row r="53" spans="1:10" s="3" customFormat="1" x14ac:dyDescent="0.25">
      <c r="A53" s="112">
        <v>21081100</v>
      </c>
      <c r="B53" s="38" t="s">
        <v>241</v>
      </c>
      <c r="C53" s="126">
        <v>2908.0039999999999</v>
      </c>
      <c r="D53" s="33">
        <v>7503.2240000000002</v>
      </c>
      <c r="E53" s="47">
        <f>D53-C53</f>
        <v>4595.22</v>
      </c>
      <c r="F53" s="67" t="s">
        <v>408</v>
      </c>
      <c r="G53" s="33"/>
      <c r="H53" s="33"/>
      <c r="I53" s="47"/>
      <c r="J53" s="150"/>
    </row>
    <row r="54" spans="1:10" s="3" customFormat="1" ht="75" x14ac:dyDescent="0.25">
      <c r="A54" s="112">
        <v>21081500</v>
      </c>
      <c r="B54" s="74" t="s">
        <v>356</v>
      </c>
      <c r="C54" s="126">
        <v>1295.4590000000001</v>
      </c>
      <c r="D54" s="33">
        <v>1868.2539999999999</v>
      </c>
      <c r="E54" s="47">
        <f>D54-C54</f>
        <v>572.79499999999985</v>
      </c>
      <c r="F54" s="67">
        <f t="shared" ref="F54:F57" si="8">D54/C54*100</f>
        <v>144.21560234634981</v>
      </c>
      <c r="G54" s="33"/>
      <c r="H54" s="33"/>
      <c r="I54" s="47"/>
      <c r="J54" s="150"/>
    </row>
    <row r="55" spans="1:10" s="3" customFormat="1" ht="37.5" x14ac:dyDescent="0.25">
      <c r="A55" s="112">
        <v>21081700</v>
      </c>
      <c r="B55" s="74" t="s">
        <v>310</v>
      </c>
      <c r="C55" s="126">
        <v>300</v>
      </c>
      <c r="D55" s="33">
        <v>991.40599999999995</v>
      </c>
      <c r="E55" s="47">
        <f>D55-C55</f>
        <v>691.40599999999995</v>
      </c>
      <c r="F55" s="67" t="s">
        <v>427</v>
      </c>
      <c r="G55" s="33"/>
      <c r="H55" s="33"/>
      <c r="I55" s="47"/>
      <c r="J55" s="150"/>
    </row>
    <row r="56" spans="1:10" s="23" customFormat="1" ht="37.5" x14ac:dyDescent="0.25">
      <c r="A56" s="146">
        <v>21081800</v>
      </c>
      <c r="B56" s="138" t="s">
        <v>279</v>
      </c>
      <c r="C56" s="127">
        <v>961.44500000000005</v>
      </c>
      <c r="D56" s="132">
        <v>888.56200000000001</v>
      </c>
      <c r="E56" s="149">
        <f t="shared" ref="E56:E57" si="9">D56-C56</f>
        <v>-72.883000000000038</v>
      </c>
      <c r="F56" s="67">
        <f t="shared" si="8"/>
        <v>92.419431168709593</v>
      </c>
      <c r="G56" s="132"/>
      <c r="H56" s="132"/>
      <c r="I56" s="149"/>
      <c r="J56" s="150"/>
    </row>
    <row r="57" spans="1:10" s="3" customFormat="1" ht="56.25" x14ac:dyDescent="0.25">
      <c r="A57" s="112">
        <v>21082400</v>
      </c>
      <c r="B57" s="39" t="s">
        <v>267</v>
      </c>
      <c r="C57" s="126">
        <v>113.376</v>
      </c>
      <c r="D57" s="33">
        <v>28.591000000000001</v>
      </c>
      <c r="E57" s="47">
        <f t="shared" si="9"/>
        <v>-84.784999999999997</v>
      </c>
      <c r="F57" s="67">
        <f t="shared" si="8"/>
        <v>25.217859158904883</v>
      </c>
      <c r="G57" s="33"/>
      <c r="H57" s="33"/>
      <c r="I57" s="47"/>
      <c r="J57" s="150"/>
    </row>
    <row r="58" spans="1:10" s="3" customFormat="1" x14ac:dyDescent="0.25">
      <c r="A58" s="112">
        <v>22000000</v>
      </c>
      <c r="B58" s="38" t="s">
        <v>242</v>
      </c>
      <c r="C58" s="33">
        <f>C59+C64+C65+C66</f>
        <v>20205.368999999999</v>
      </c>
      <c r="D58" s="33">
        <f>D59+D65+D64+D66</f>
        <v>16457.144</v>
      </c>
      <c r="E58" s="47">
        <f t="shared" ref="E58:E73" si="10">D58-C58</f>
        <v>-3748.2249999999985</v>
      </c>
      <c r="F58" s="67">
        <f t="shared" si="5"/>
        <v>81.449361305898449</v>
      </c>
      <c r="G58" s="33"/>
      <c r="H58" s="33"/>
      <c r="I58" s="47"/>
      <c r="J58" s="150"/>
    </row>
    <row r="59" spans="1:10" s="3" customFormat="1" x14ac:dyDescent="0.25">
      <c r="A59" s="112">
        <v>22010000</v>
      </c>
      <c r="B59" s="38" t="s">
        <v>243</v>
      </c>
      <c r="C59" s="33">
        <f>C63+C62+C61+C60</f>
        <v>15940.503000000001</v>
      </c>
      <c r="D59" s="33">
        <f>D63+D62+D61+D60</f>
        <v>12340.47</v>
      </c>
      <c r="E59" s="47">
        <f t="shared" si="10"/>
        <v>-3600.0330000000013</v>
      </c>
      <c r="F59" s="67">
        <f t="shared" si="5"/>
        <v>77.415813039274852</v>
      </c>
      <c r="G59" s="33"/>
      <c r="H59" s="33"/>
      <c r="I59" s="47"/>
      <c r="J59" s="150"/>
    </row>
    <row r="60" spans="1:10" s="3" customFormat="1" ht="37.5" x14ac:dyDescent="0.25">
      <c r="A60" s="112">
        <v>22010300</v>
      </c>
      <c r="B60" s="74" t="s">
        <v>357</v>
      </c>
      <c r="C60" s="61">
        <v>167.976</v>
      </c>
      <c r="D60" s="33">
        <v>197.68899999999999</v>
      </c>
      <c r="E60" s="47">
        <f t="shared" si="10"/>
        <v>29.712999999999994</v>
      </c>
      <c r="F60" s="67">
        <f t="shared" si="5"/>
        <v>117.68883650045242</v>
      </c>
      <c r="G60" s="33"/>
      <c r="H60" s="33"/>
      <c r="I60" s="47"/>
      <c r="J60" s="150"/>
    </row>
    <row r="61" spans="1:10" s="3" customFormat="1" x14ac:dyDescent="0.25">
      <c r="A61" s="112">
        <v>22012500</v>
      </c>
      <c r="B61" s="38" t="s">
        <v>244</v>
      </c>
      <c r="C61" s="61">
        <v>15486.605</v>
      </c>
      <c r="D61" s="33">
        <v>11735.924999999999</v>
      </c>
      <c r="E61" s="47">
        <f t="shared" si="10"/>
        <v>-3750.6800000000003</v>
      </c>
      <c r="F61" s="67">
        <f t="shared" si="5"/>
        <v>75.781134729012592</v>
      </c>
      <c r="G61" s="33"/>
      <c r="H61" s="33"/>
      <c r="I61" s="47"/>
      <c r="J61" s="150"/>
    </row>
    <row r="62" spans="1:10" s="3" customFormat="1" x14ac:dyDescent="0.25">
      <c r="A62" s="112">
        <v>22012600</v>
      </c>
      <c r="B62" s="74" t="s">
        <v>245</v>
      </c>
      <c r="C62" s="61">
        <v>285.68200000000002</v>
      </c>
      <c r="D62" s="33">
        <v>406.13200000000001</v>
      </c>
      <c r="E62" s="47">
        <f t="shared" si="10"/>
        <v>120.44999999999999</v>
      </c>
      <c r="F62" s="67">
        <f t="shared" si="5"/>
        <v>142.16226433586993</v>
      </c>
      <c r="G62" s="33"/>
      <c r="H62" s="33"/>
      <c r="I62" s="47"/>
      <c r="J62" s="150"/>
    </row>
    <row r="63" spans="1:10" s="3" customFormat="1" ht="75" x14ac:dyDescent="0.25">
      <c r="A63" s="112">
        <v>22012900</v>
      </c>
      <c r="B63" s="74" t="s">
        <v>358</v>
      </c>
      <c r="C63" s="61">
        <v>0.24</v>
      </c>
      <c r="D63" s="33">
        <v>0.72399999999999998</v>
      </c>
      <c r="E63" s="47">
        <f t="shared" si="10"/>
        <v>0.48399999999999999</v>
      </c>
      <c r="F63" s="67" t="s">
        <v>422</v>
      </c>
      <c r="G63" s="33"/>
      <c r="H63" s="33"/>
      <c r="I63" s="47"/>
      <c r="J63" s="150"/>
    </row>
    <row r="64" spans="1:10" s="3" customFormat="1" ht="37.5" x14ac:dyDescent="0.25">
      <c r="A64" s="112">
        <v>22020400</v>
      </c>
      <c r="B64" s="74" t="s">
        <v>303</v>
      </c>
      <c r="C64" s="61">
        <v>1285.7139999999999</v>
      </c>
      <c r="D64" s="33"/>
      <c r="E64" s="47">
        <f t="shared" si="10"/>
        <v>-1285.7139999999999</v>
      </c>
      <c r="F64" s="67"/>
      <c r="G64" s="33"/>
      <c r="H64" s="33"/>
      <c r="I64" s="47"/>
      <c r="J64" s="150"/>
    </row>
    <row r="65" spans="1:10" s="3" customFormat="1" ht="37.5" x14ac:dyDescent="0.25">
      <c r="A65" s="112">
        <v>22080400</v>
      </c>
      <c r="B65" s="38" t="s">
        <v>294</v>
      </c>
      <c r="C65" s="61">
        <v>2775.694</v>
      </c>
      <c r="D65" s="33">
        <v>4002.9009999999998</v>
      </c>
      <c r="E65" s="47">
        <f t="shared" si="10"/>
        <v>1227.2069999999999</v>
      </c>
      <c r="F65" s="67">
        <f t="shared" ref="F65" si="11">D65/C65*100</f>
        <v>144.2126185379224</v>
      </c>
      <c r="G65" s="33"/>
      <c r="H65" s="33"/>
      <c r="I65" s="47"/>
      <c r="J65" s="150"/>
    </row>
    <row r="66" spans="1:10" s="3" customFormat="1" x14ac:dyDescent="0.25">
      <c r="A66" s="112">
        <v>22090000</v>
      </c>
      <c r="B66" s="38" t="s">
        <v>246</v>
      </c>
      <c r="C66" s="33">
        <f>C67+C68+C69</f>
        <v>203.458</v>
      </c>
      <c r="D66" s="33">
        <f>D67+D68+D69</f>
        <v>113.773</v>
      </c>
      <c r="E66" s="47">
        <f t="shared" si="10"/>
        <v>-89.685000000000002</v>
      </c>
      <c r="F66" s="67">
        <f t="shared" ref="F66:F69" si="12">D66/C66*100</f>
        <v>55.919649264221604</v>
      </c>
      <c r="G66" s="33"/>
      <c r="H66" s="33"/>
      <c r="I66" s="47"/>
      <c r="J66" s="150"/>
    </row>
    <row r="67" spans="1:10" s="3" customFormat="1" ht="37.5" x14ac:dyDescent="0.25">
      <c r="A67" s="112">
        <v>22090100</v>
      </c>
      <c r="B67" s="38" t="s">
        <v>247</v>
      </c>
      <c r="C67" s="61">
        <v>80.971000000000004</v>
      </c>
      <c r="D67" s="33">
        <v>95.542000000000002</v>
      </c>
      <c r="E67" s="47">
        <f t="shared" si="10"/>
        <v>14.570999999999998</v>
      </c>
      <c r="F67" s="67">
        <f t="shared" si="12"/>
        <v>117.99533166195305</v>
      </c>
      <c r="G67" s="33"/>
      <c r="H67" s="33"/>
      <c r="I67" s="47"/>
      <c r="J67" s="150"/>
    </row>
    <row r="68" spans="1:10" s="3" customFormat="1" x14ac:dyDescent="0.25">
      <c r="A68" s="112">
        <v>22090200</v>
      </c>
      <c r="B68" s="38" t="s">
        <v>304</v>
      </c>
      <c r="C68" s="61">
        <v>3.0000000000000001E-3</v>
      </c>
      <c r="D68" s="33"/>
      <c r="E68" s="47">
        <f t="shared" si="10"/>
        <v>-3.0000000000000001E-3</v>
      </c>
      <c r="F68" s="67"/>
      <c r="G68" s="33"/>
      <c r="H68" s="33"/>
      <c r="I68" s="47"/>
      <c r="J68" s="150"/>
    </row>
    <row r="69" spans="1:10" s="3" customFormat="1" ht="37.5" x14ac:dyDescent="0.25">
      <c r="A69" s="112">
        <v>22090400</v>
      </c>
      <c r="B69" s="38" t="s">
        <v>248</v>
      </c>
      <c r="C69" s="61">
        <v>122.48399999999999</v>
      </c>
      <c r="D69" s="33">
        <v>18.231000000000002</v>
      </c>
      <c r="E69" s="47">
        <f t="shared" si="10"/>
        <v>-104.25299999999999</v>
      </c>
      <c r="F69" s="67">
        <f t="shared" si="12"/>
        <v>14.884393063583817</v>
      </c>
      <c r="G69" s="33"/>
      <c r="H69" s="33"/>
      <c r="I69" s="47"/>
      <c r="J69" s="150"/>
    </row>
    <row r="70" spans="1:10" s="3" customFormat="1" x14ac:dyDescent="0.25">
      <c r="A70" s="112">
        <v>24000000</v>
      </c>
      <c r="B70" s="38" t="s">
        <v>249</v>
      </c>
      <c r="C70" s="33">
        <f>C71+C77</f>
        <v>11419.178</v>
      </c>
      <c r="D70" s="33">
        <f>D71+D77</f>
        <v>7075.6729999999998</v>
      </c>
      <c r="E70" s="47">
        <f t="shared" si="10"/>
        <v>-4343.5050000000001</v>
      </c>
      <c r="F70" s="67">
        <f t="shared" si="5"/>
        <v>61.963067744455856</v>
      </c>
      <c r="G70" s="33">
        <f>G71+G76+G77+G78</f>
        <v>2066.8330000000001</v>
      </c>
      <c r="H70" s="33">
        <f>H71+H77+H78+H76</f>
        <v>10956.536</v>
      </c>
      <c r="I70" s="47">
        <f>SUM(H70-G70)</f>
        <v>8889.7029999999995</v>
      </c>
      <c r="J70" s="67" t="s">
        <v>425</v>
      </c>
    </row>
    <row r="71" spans="1:10" s="3" customFormat="1" x14ac:dyDescent="0.25">
      <c r="A71" s="112">
        <v>24060000</v>
      </c>
      <c r="B71" s="38" t="s">
        <v>240</v>
      </c>
      <c r="C71" s="33">
        <f>C72+C75+C73</f>
        <v>11419.178</v>
      </c>
      <c r="D71" s="33">
        <f>D72+D75+D73</f>
        <v>7075.6729999999998</v>
      </c>
      <c r="E71" s="47">
        <f t="shared" si="10"/>
        <v>-4343.5050000000001</v>
      </c>
      <c r="F71" s="67">
        <f t="shared" si="5"/>
        <v>61.963067744455856</v>
      </c>
      <c r="G71" s="33">
        <f>G74</f>
        <v>336.673</v>
      </c>
      <c r="H71" s="33">
        <f>H74</f>
        <v>671.61500000000001</v>
      </c>
      <c r="I71" s="47">
        <f>SUM(H71-G71)</f>
        <v>334.94200000000001</v>
      </c>
      <c r="J71" s="67" t="s">
        <v>350</v>
      </c>
    </row>
    <row r="72" spans="1:10" s="3" customFormat="1" x14ac:dyDescent="0.25">
      <c r="A72" s="112">
        <v>24060300</v>
      </c>
      <c r="B72" s="38" t="s">
        <v>240</v>
      </c>
      <c r="C72" s="126">
        <v>5763.3680000000004</v>
      </c>
      <c r="D72" s="33">
        <v>3824.2939999999999</v>
      </c>
      <c r="E72" s="47">
        <f t="shared" si="10"/>
        <v>-1939.0740000000005</v>
      </c>
      <c r="F72" s="67">
        <f t="shared" si="5"/>
        <v>66.355193699239749</v>
      </c>
      <c r="G72" s="33"/>
      <c r="H72" s="33"/>
      <c r="I72" s="47"/>
      <c r="J72" s="103"/>
    </row>
    <row r="73" spans="1:10" s="3" customFormat="1" ht="56.25" x14ac:dyDescent="0.25">
      <c r="A73" s="112">
        <v>24061900</v>
      </c>
      <c r="B73" s="38" t="s">
        <v>270</v>
      </c>
      <c r="C73" s="126">
        <v>3213.24</v>
      </c>
      <c r="D73" s="33"/>
      <c r="E73" s="47">
        <f t="shared" si="10"/>
        <v>-3213.24</v>
      </c>
      <c r="F73" s="67"/>
      <c r="G73" s="33"/>
      <c r="H73" s="33"/>
      <c r="I73" s="47"/>
      <c r="J73" s="103"/>
    </row>
    <row r="74" spans="1:10" s="3" customFormat="1" ht="37.5" x14ac:dyDescent="0.25">
      <c r="A74" s="112">
        <v>24062100</v>
      </c>
      <c r="B74" s="38" t="s">
        <v>250</v>
      </c>
      <c r="C74" s="126"/>
      <c r="D74" s="33"/>
      <c r="E74" s="47"/>
      <c r="F74" s="67"/>
      <c r="G74" s="33">
        <v>336.673</v>
      </c>
      <c r="H74" s="33">
        <v>671.61500000000001</v>
      </c>
      <c r="I74" s="47">
        <f>SUM(H74-G74)</f>
        <v>334.94200000000001</v>
      </c>
      <c r="J74" s="67" t="s">
        <v>350</v>
      </c>
    </row>
    <row r="75" spans="1:10" s="3" customFormat="1" ht="112.5" x14ac:dyDescent="0.25">
      <c r="A75" s="112">
        <v>24062200</v>
      </c>
      <c r="B75" s="74" t="s">
        <v>251</v>
      </c>
      <c r="C75" s="126">
        <v>2442.5700000000002</v>
      </c>
      <c r="D75" s="33">
        <v>3251.3789999999999</v>
      </c>
      <c r="E75" s="47">
        <f>D75-C75</f>
        <v>808.80899999999974</v>
      </c>
      <c r="F75" s="67">
        <f t="shared" si="5"/>
        <v>133.11303258453185</v>
      </c>
      <c r="G75" s="33"/>
      <c r="H75" s="33"/>
      <c r="I75" s="47"/>
      <c r="J75" s="103"/>
    </row>
    <row r="76" spans="1:10" s="3" customFormat="1" ht="37.5" x14ac:dyDescent="0.25">
      <c r="A76" s="112">
        <v>24110700</v>
      </c>
      <c r="B76" s="74" t="s">
        <v>328</v>
      </c>
      <c r="C76" s="33"/>
      <c r="D76" s="33"/>
      <c r="E76" s="47"/>
      <c r="F76" s="67"/>
      <c r="G76" s="33"/>
      <c r="H76" s="33"/>
      <c r="I76" s="47"/>
      <c r="J76" s="76"/>
    </row>
    <row r="77" spans="1:10" s="3" customFormat="1" ht="56.25" x14ac:dyDescent="0.25">
      <c r="A77" s="112">
        <v>24110900</v>
      </c>
      <c r="B77" s="38" t="s">
        <v>252</v>
      </c>
      <c r="C77" s="33"/>
      <c r="D77" s="33"/>
      <c r="E77" s="47"/>
      <c r="F77" s="67"/>
      <c r="G77" s="33">
        <v>108.718</v>
      </c>
      <c r="H77" s="33">
        <v>83.465999999999994</v>
      </c>
      <c r="I77" s="47">
        <f>SUM(H77-G77)</f>
        <v>-25.25200000000001</v>
      </c>
      <c r="J77" s="67">
        <f>H77/G77*100</f>
        <v>76.772935484464384</v>
      </c>
    </row>
    <row r="78" spans="1:10" s="3" customFormat="1" x14ac:dyDescent="0.25">
      <c r="A78" s="112">
        <v>24170000</v>
      </c>
      <c r="B78" s="139" t="s">
        <v>285</v>
      </c>
      <c r="C78" s="128"/>
      <c r="D78" s="33"/>
      <c r="E78" s="47"/>
      <c r="F78" s="67"/>
      <c r="G78" s="33">
        <v>1621.442</v>
      </c>
      <c r="H78" s="33">
        <v>10201.455</v>
      </c>
      <c r="I78" s="47">
        <f>SUM(H78-G78)</f>
        <v>8580.012999999999</v>
      </c>
      <c r="J78" s="67" t="s">
        <v>460</v>
      </c>
    </row>
    <row r="79" spans="1:10" s="3" customFormat="1" x14ac:dyDescent="0.25">
      <c r="A79" s="112">
        <v>25000000</v>
      </c>
      <c r="B79" s="38" t="s">
        <v>253</v>
      </c>
      <c r="C79" s="33"/>
      <c r="D79" s="33"/>
      <c r="E79" s="47"/>
      <c r="F79" s="67"/>
      <c r="G79" s="133">
        <v>132847.027</v>
      </c>
      <c r="H79" s="33">
        <v>249178.62</v>
      </c>
      <c r="I79" s="47">
        <f>SUM(H79-G79)</f>
        <v>116331.59299999999</v>
      </c>
      <c r="J79" s="67" t="s">
        <v>423</v>
      </c>
    </row>
    <row r="80" spans="1:10" s="22" customFormat="1" x14ac:dyDescent="0.25">
      <c r="A80" s="143">
        <v>30000000</v>
      </c>
      <c r="B80" s="136" t="s">
        <v>305</v>
      </c>
      <c r="C80" s="93">
        <f>C82</f>
        <v>0.10199999999999999</v>
      </c>
      <c r="D80" s="93">
        <f>D81</f>
        <v>7.5270000000000001</v>
      </c>
      <c r="E80" s="29">
        <f>D80-C80</f>
        <v>7.4249999999999998</v>
      </c>
      <c r="F80" s="68" t="s">
        <v>459</v>
      </c>
      <c r="G80" s="134"/>
      <c r="H80" s="134">
        <f>H83</f>
        <v>64.275000000000006</v>
      </c>
      <c r="I80" s="29">
        <f>SUM(H80-G80)</f>
        <v>64.275000000000006</v>
      </c>
      <c r="J80" s="67"/>
    </row>
    <row r="81" spans="1:10" s="22" customFormat="1" ht="56.25" x14ac:dyDescent="0.25">
      <c r="A81" s="112">
        <v>31010200</v>
      </c>
      <c r="B81" s="38" t="s">
        <v>313</v>
      </c>
      <c r="C81" s="33"/>
      <c r="D81" s="33">
        <v>7.5270000000000001</v>
      </c>
      <c r="E81" s="47">
        <f>D81-C81</f>
        <v>7.5270000000000001</v>
      </c>
      <c r="F81" s="67"/>
      <c r="G81" s="134"/>
      <c r="H81" s="134"/>
      <c r="I81" s="29"/>
      <c r="J81" s="103"/>
    </row>
    <row r="82" spans="1:10" s="22" customFormat="1" x14ac:dyDescent="0.25">
      <c r="A82" s="112">
        <v>31020000</v>
      </c>
      <c r="B82" s="38" t="s">
        <v>306</v>
      </c>
      <c r="C82" s="126">
        <v>0.10199999999999999</v>
      </c>
      <c r="D82" s="33"/>
      <c r="E82" s="47">
        <f>D82-C82</f>
        <v>-0.10199999999999999</v>
      </c>
      <c r="F82" s="67"/>
      <c r="G82" s="134"/>
      <c r="H82" s="134"/>
      <c r="I82" s="29"/>
      <c r="J82" s="103"/>
    </row>
    <row r="83" spans="1:10" s="22" customFormat="1" ht="56.25" x14ac:dyDescent="0.25">
      <c r="A83" s="112">
        <v>33010100</v>
      </c>
      <c r="B83" s="38" t="s">
        <v>314</v>
      </c>
      <c r="C83" s="129"/>
      <c r="D83" s="129"/>
      <c r="E83" s="129"/>
      <c r="F83" s="129"/>
      <c r="G83" s="33"/>
      <c r="H83" s="33">
        <v>64.275000000000006</v>
      </c>
      <c r="I83" s="47">
        <f>H83-G83</f>
        <v>64.275000000000006</v>
      </c>
      <c r="J83" s="67"/>
    </row>
    <row r="84" spans="1:10" s="22" customFormat="1" x14ac:dyDescent="0.25">
      <c r="A84" s="147" t="s">
        <v>307</v>
      </c>
      <c r="B84" s="140" t="s">
        <v>308</v>
      </c>
      <c r="C84" s="130"/>
      <c r="D84" s="93"/>
      <c r="E84" s="29"/>
      <c r="F84" s="68"/>
      <c r="G84" s="93"/>
      <c r="H84" s="93"/>
      <c r="I84" s="29"/>
      <c r="J84" s="103"/>
    </row>
    <row r="85" spans="1:10" s="3" customFormat="1" ht="37.5" x14ac:dyDescent="0.25">
      <c r="A85" s="112">
        <v>50110000</v>
      </c>
      <c r="B85" s="38" t="s">
        <v>315</v>
      </c>
      <c r="C85" s="131"/>
      <c r="D85" s="131"/>
      <c r="E85" s="131"/>
      <c r="F85" s="67"/>
      <c r="G85" s="33"/>
      <c r="H85" s="33"/>
      <c r="I85" s="47"/>
      <c r="J85" s="76"/>
    </row>
    <row r="86" spans="1:10" s="22" customFormat="1" x14ac:dyDescent="0.25">
      <c r="A86" s="143"/>
      <c r="B86" s="136" t="s">
        <v>254</v>
      </c>
      <c r="C86" s="93">
        <f>C8+C48+C81+D79+C82</f>
        <v>1802449.183</v>
      </c>
      <c r="D86" s="93">
        <f>D8+D48+D80</f>
        <v>2158139.4049999993</v>
      </c>
      <c r="E86" s="29">
        <f>D86-C86</f>
        <v>355690.22199999937</v>
      </c>
      <c r="F86" s="68">
        <f t="shared" si="5"/>
        <v>119.73371706424409</v>
      </c>
      <c r="G86" s="93">
        <f>G8+G48+G80+G84</f>
        <v>135363.82900000003</v>
      </c>
      <c r="H86" s="93">
        <f>H8+H48+H80+H84</f>
        <v>260768.72999999998</v>
      </c>
      <c r="I86" s="29">
        <f>SUM(H86-G86)</f>
        <v>125404.90099999995</v>
      </c>
      <c r="J86" s="68" t="s">
        <v>369</v>
      </c>
    </row>
    <row r="87" spans="1:10" s="3" customFormat="1" x14ac:dyDescent="0.25">
      <c r="A87" s="143">
        <v>40000000</v>
      </c>
      <c r="B87" s="136" t="s">
        <v>255</v>
      </c>
      <c r="C87" s="93">
        <f>C88+C89+C90+C100+C102</f>
        <v>1025200.7710000001</v>
      </c>
      <c r="D87" s="93">
        <f>D88+D89+D90+D100+D102</f>
        <v>1066741.0499999998</v>
      </c>
      <c r="E87" s="29">
        <f>D87-C87</f>
        <v>41540.278999999748</v>
      </c>
      <c r="F87" s="68">
        <f t="shared" ref="F87" si="13">D87/C87*100</f>
        <v>104.05191648065974</v>
      </c>
      <c r="G87" s="93">
        <f>G88+G90+G100+G102</f>
        <v>141498.361</v>
      </c>
      <c r="H87" s="93">
        <f>H88+H90+H100+H102</f>
        <v>11903.612000000001</v>
      </c>
      <c r="I87" s="29">
        <f>SUM(H87-G87)</f>
        <v>-129594.74900000001</v>
      </c>
      <c r="J87" s="68">
        <f>SUM(H87/G87*100)</f>
        <v>8.4125440859346785</v>
      </c>
    </row>
    <row r="88" spans="1:10" s="3" customFormat="1" ht="56.25" x14ac:dyDescent="0.25">
      <c r="A88" s="144">
        <v>41021000</v>
      </c>
      <c r="B88" s="74" t="s">
        <v>359</v>
      </c>
      <c r="C88" s="105">
        <v>2269.8000000000002</v>
      </c>
      <c r="D88" s="33">
        <v>2385.6</v>
      </c>
      <c r="E88" s="47">
        <f>D88-C88</f>
        <v>115.79999999999973</v>
      </c>
      <c r="F88" s="67">
        <f t="shared" ref="F88:F90" si="14">D88/C88*100</f>
        <v>105.10177108115251</v>
      </c>
      <c r="G88" s="33"/>
      <c r="H88" s="33"/>
      <c r="I88" s="29"/>
      <c r="J88" s="150"/>
    </row>
    <row r="89" spans="1:10" s="3" customFormat="1" ht="75" x14ac:dyDescent="0.25">
      <c r="A89" s="144">
        <v>41021400</v>
      </c>
      <c r="B89" s="139" t="s">
        <v>292</v>
      </c>
      <c r="C89" s="105">
        <v>532716.19999999995</v>
      </c>
      <c r="D89" s="33">
        <v>478094.8</v>
      </c>
      <c r="E89" s="47">
        <f>D89-C89</f>
        <v>-54621.399999999965</v>
      </c>
      <c r="F89" s="67">
        <f t="shared" si="14"/>
        <v>89.746623061209704</v>
      </c>
      <c r="G89" s="33"/>
      <c r="H89" s="33"/>
      <c r="I89" s="29"/>
      <c r="J89" s="150"/>
    </row>
    <row r="90" spans="1:10" s="3" customFormat="1" x14ac:dyDescent="0.25">
      <c r="A90" s="112">
        <v>41030000</v>
      </c>
      <c r="B90" s="74" t="s">
        <v>256</v>
      </c>
      <c r="C90" s="33">
        <f>C92+C95+C96</f>
        <v>479648.00299999997</v>
      </c>
      <c r="D90" s="33">
        <f>D91+D92+D93+D94+D95+D96+D97+D98+D99</f>
        <v>565983.19299999997</v>
      </c>
      <c r="E90" s="47">
        <f>D90-C90</f>
        <v>86335.19</v>
      </c>
      <c r="F90" s="67">
        <f t="shared" si="14"/>
        <v>117.99969758239565</v>
      </c>
      <c r="G90" s="33">
        <f>G91</f>
        <v>141498.361</v>
      </c>
      <c r="H90" s="33">
        <f>H91</f>
        <v>5064.0680000000002</v>
      </c>
      <c r="I90" s="33">
        <f>I91</f>
        <v>-136434.29300000001</v>
      </c>
      <c r="J90" s="67">
        <f>SUM(H90/G90*100)</f>
        <v>3.5788880975094828</v>
      </c>
    </row>
    <row r="91" spans="1:10" s="3" customFormat="1" ht="56.25" x14ac:dyDescent="0.25">
      <c r="A91" s="112">
        <v>41031700</v>
      </c>
      <c r="B91" s="74" t="s">
        <v>309</v>
      </c>
      <c r="C91" s="33"/>
      <c r="D91" s="33"/>
      <c r="E91" s="47"/>
      <c r="F91" s="67"/>
      <c r="G91" s="33">
        <v>141498.361</v>
      </c>
      <c r="H91" s="33">
        <v>5064.0680000000002</v>
      </c>
      <c r="I91" s="47">
        <f>SUM(H91-G91)</f>
        <v>-136434.29300000001</v>
      </c>
      <c r="J91" s="67">
        <f>SUM(H91/G91*100)</f>
        <v>3.5788880975094828</v>
      </c>
    </row>
    <row r="92" spans="1:10" s="3" customFormat="1" ht="75" x14ac:dyDescent="0.25">
      <c r="A92" s="112">
        <v>41032800</v>
      </c>
      <c r="B92" s="74" t="s">
        <v>360</v>
      </c>
      <c r="C92" s="33">
        <v>9598.4030000000002</v>
      </c>
      <c r="D92" s="33">
        <v>15801.692999999999</v>
      </c>
      <c r="E92" s="47">
        <f t="shared" ref="E92:E95" si="15">D92-C92</f>
        <v>6203.2899999999991</v>
      </c>
      <c r="F92" s="67" t="s">
        <v>426</v>
      </c>
      <c r="G92" s="33"/>
      <c r="H92" s="33"/>
      <c r="I92" s="47"/>
      <c r="J92" s="150"/>
    </row>
    <row r="93" spans="1:10" s="3" customFormat="1" ht="37.5" x14ac:dyDescent="0.25">
      <c r="A93" s="112">
        <v>41033300</v>
      </c>
      <c r="B93" s="74" t="s">
        <v>324</v>
      </c>
      <c r="C93" s="33"/>
      <c r="D93" s="33"/>
      <c r="E93" s="47"/>
      <c r="F93" s="67"/>
      <c r="G93" s="33"/>
      <c r="H93" s="33"/>
      <c r="I93" s="47"/>
      <c r="J93" s="150"/>
    </row>
    <row r="94" spans="1:10" s="3" customFormat="1" ht="75" x14ac:dyDescent="0.25">
      <c r="A94" s="112">
        <v>41033500</v>
      </c>
      <c r="B94" s="74" t="s">
        <v>361</v>
      </c>
      <c r="C94" s="33"/>
      <c r="D94" s="33">
        <v>46632.2</v>
      </c>
      <c r="E94" s="47">
        <f t="shared" si="15"/>
        <v>46632.2</v>
      </c>
      <c r="F94" s="67"/>
      <c r="G94" s="33"/>
      <c r="H94" s="33"/>
      <c r="I94" s="47"/>
      <c r="J94" s="150"/>
    </row>
    <row r="95" spans="1:10" s="3" customFormat="1" ht="56.25" x14ac:dyDescent="0.25">
      <c r="A95" s="112">
        <v>41033800</v>
      </c>
      <c r="B95" s="74" t="s">
        <v>362</v>
      </c>
      <c r="C95" s="33">
        <v>1342</v>
      </c>
      <c r="D95" s="33"/>
      <c r="E95" s="47">
        <f t="shared" si="15"/>
        <v>-1342</v>
      </c>
      <c r="F95" s="67"/>
      <c r="G95" s="33"/>
      <c r="H95" s="33"/>
      <c r="I95" s="47"/>
      <c r="J95" s="150"/>
    </row>
    <row r="96" spans="1:10" s="3" customFormat="1" x14ac:dyDescent="0.25">
      <c r="A96" s="112">
        <v>41033900</v>
      </c>
      <c r="B96" s="74" t="s">
        <v>257</v>
      </c>
      <c r="C96" s="105">
        <v>468707.6</v>
      </c>
      <c r="D96" s="33">
        <v>463983.3</v>
      </c>
      <c r="E96" s="47">
        <f t="shared" ref="E96:E103" si="16">D96-C96</f>
        <v>-4724.2999999999884</v>
      </c>
      <c r="F96" s="67">
        <f t="shared" ref="F96" si="17">D96/C96*100</f>
        <v>98.992058161634247</v>
      </c>
      <c r="G96" s="33"/>
      <c r="H96" s="33"/>
      <c r="I96" s="47"/>
      <c r="J96" s="67"/>
    </row>
    <row r="97" spans="1:10" s="3" customFormat="1" ht="37.5" x14ac:dyDescent="0.25">
      <c r="A97" s="112">
        <v>41035400</v>
      </c>
      <c r="B97" s="74" t="s">
        <v>346</v>
      </c>
      <c r="C97" s="33"/>
      <c r="D97" s="33">
        <v>3768</v>
      </c>
      <c r="E97" s="47">
        <f t="shared" si="16"/>
        <v>3768</v>
      </c>
      <c r="F97" s="67"/>
      <c r="G97" s="33"/>
      <c r="H97" s="33"/>
      <c r="I97" s="47"/>
      <c r="J97" s="67"/>
    </row>
    <row r="98" spans="1:10" s="3" customFormat="1" ht="42.75" customHeight="1" x14ac:dyDescent="0.25">
      <c r="A98" s="112">
        <v>41036000</v>
      </c>
      <c r="B98" s="74" t="s">
        <v>417</v>
      </c>
      <c r="C98" s="33"/>
      <c r="D98" s="33">
        <v>5391</v>
      </c>
      <c r="E98" s="47">
        <f t="shared" si="16"/>
        <v>5391</v>
      </c>
      <c r="F98" s="67"/>
      <c r="G98" s="33"/>
      <c r="H98" s="33"/>
      <c r="I98" s="47"/>
      <c r="J98" s="67"/>
    </row>
    <row r="99" spans="1:10" s="3" customFormat="1" ht="37.5" x14ac:dyDescent="0.25">
      <c r="A99" s="112">
        <v>41036300</v>
      </c>
      <c r="B99" s="74" t="s">
        <v>347</v>
      </c>
      <c r="C99" s="33"/>
      <c r="D99" s="33">
        <v>30407</v>
      </c>
      <c r="E99" s="47">
        <f t="shared" si="16"/>
        <v>30407</v>
      </c>
      <c r="F99" s="67"/>
      <c r="G99" s="33"/>
      <c r="H99" s="33"/>
      <c r="I99" s="47"/>
      <c r="J99" s="67"/>
    </row>
    <row r="100" spans="1:10" s="24" customFormat="1" ht="24.75" customHeight="1" x14ac:dyDescent="0.3">
      <c r="A100" s="112">
        <v>41040000</v>
      </c>
      <c r="B100" s="139" t="s">
        <v>283</v>
      </c>
      <c r="C100" s="151">
        <f>C101</f>
        <v>149.71100000000001</v>
      </c>
      <c r="D100" s="33">
        <f>D101</f>
        <v>157.28800000000001</v>
      </c>
      <c r="E100" s="47">
        <f t="shared" si="16"/>
        <v>7.5769999999999982</v>
      </c>
      <c r="F100" s="67">
        <f t="shared" ref="F100:F101" si="18">D100/C100*100</f>
        <v>105.06108435585895</v>
      </c>
      <c r="G100" s="33"/>
      <c r="H100" s="33"/>
      <c r="I100" s="47"/>
      <c r="J100" s="150"/>
    </row>
    <row r="101" spans="1:10" s="22" customFormat="1" x14ac:dyDescent="0.25">
      <c r="A101" s="112">
        <v>41040400</v>
      </c>
      <c r="B101" s="139" t="s">
        <v>282</v>
      </c>
      <c r="C101" s="105">
        <v>149.71100000000001</v>
      </c>
      <c r="D101" s="33">
        <v>157.28800000000001</v>
      </c>
      <c r="E101" s="47">
        <f t="shared" si="16"/>
        <v>7.5769999999999982</v>
      </c>
      <c r="F101" s="67">
        <f t="shared" si="18"/>
        <v>105.06108435585895</v>
      </c>
      <c r="G101" s="33"/>
      <c r="H101" s="33"/>
      <c r="I101" s="47"/>
      <c r="J101" s="150"/>
    </row>
    <row r="102" spans="1:10" s="3" customFormat="1" x14ac:dyDescent="0.25">
      <c r="A102" s="89">
        <v>41050000</v>
      </c>
      <c r="B102" s="38" t="s">
        <v>258</v>
      </c>
      <c r="C102" s="33">
        <f>C107+C109+C112+C113+C104+C105+C106+C111</f>
        <v>10417.057000000001</v>
      </c>
      <c r="D102" s="33">
        <f>D103+D104+D105+D106+D107+D108+D109+D110+D111+D112+D113+D114</f>
        <v>20120.169000000002</v>
      </c>
      <c r="E102" s="47">
        <f t="shared" si="16"/>
        <v>9703.112000000001</v>
      </c>
      <c r="F102" s="67" t="s">
        <v>423</v>
      </c>
      <c r="G102" s="33"/>
      <c r="H102" s="33">
        <f>H104+H105+H106+H107+H108+H109+H110+H111+H112+H113</f>
        <v>6839.5439999999999</v>
      </c>
      <c r="I102" s="47">
        <f>H102-G102</f>
        <v>6839.5439999999999</v>
      </c>
      <c r="J102" s="67"/>
    </row>
    <row r="103" spans="1:10" s="3" customFormat="1" ht="56.25" x14ac:dyDescent="0.25">
      <c r="A103" s="89">
        <v>41050100</v>
      </c>
      <c r="B103" s="38" t="s">
        <v>418</v>
      </c>
      <c r="C103" s="33"/>
      <c r="D103" s="33">
        <v>7641</v>
      </c>
      <c r="E103" s="47">
        <f t="shared" si="16"/>
        <v>7641</v>
      </c>
      <c r="F103" s="67"/>
      <c r="G103" s="33"/>
      <c r="H103" s="33"/>
      <c r="I103" s="47"/>
      <c r="J103" s="67"/>
    </row>
    <row r="104" spans="1:10" s="3" customFormat="1" ht="225" x14ac:dyDescent="0.25">
      <c r="A104" s="89">
        <v>41050400</v>
      </c>
      <c r="B104" s="38" t="s">
        <v>332</v>
      </c>
      <c r="C104" s="33"/>
      <c r="D104" s="33"/>
      <c r="E104" s="47"/>
      <c r="F104" s="67"/>
      <c r="G104" s="33"/>
      <c r="H104" s="33"/>
      <c r="I104" s="47"/>
      <c r="J104" s="150"/>
    </row>
    <row r="105" spans="1:10" s="3" customFormat="1" ht="150" x14ac:dyDescent="0.25">
      <c r="A105" s="89">
        <v>41050500</v>
      </c>
      <c r="B105" s="38" t="s">
        <v>333</v>
      </c>
      <c r="C105" s="33"/>
      <c r="D105" s="33"/>
      <c r="E105" s="47"/>
      <c r="F105" s="67"/>
      <c r="G105" s="33"/>
      <c r="H105" s="33"/>
      <c r="I105" s="47"/>
      <c r="J105" s="150"/>
    </row>
    <row r="106" spans="1:10" s="3" customFormat="1" ht="225" x14ac:dyDescent="0.25">
      <c r="A106" s="89">
        <v>41050600</v>
      </c>
      <c r="B106" s="38" t="s">
        <v>334</v>
      </c>
      <c r="C106" s="33"/>
      <c r="D106" s="33"/>
      <c r="E106" s="47"/>
      <c r="F106" s="67"/>
      <c r="G106" s="33"/>
      <c r="H106" s="33"/>
      <c r="I106" s="47"/>
      <c r="J106" s="150"/>
    </row>
    <row r="107" spans="1:10" s="3" customFormat="1" ht="37.5" x14ac:dyDescent="0.25">
      <c r="A107" s="89">
        <v>41051000</v>
      </c>
      <c r="B107" s="39" t="s">
        <v>363</v>
      </c>
      <c r="C107" s="105">
        <v>7691.3850000000002</v>
      </c>
      <c r="D107" s="33">
        <v>8018.1729999999998</v>
      </c>
      <c r="E107" s="47">
        <f t="shared" ref="E107:E115" si="19">D107-C107</f>
        <v>326.78799999999956</v>
      </c>
      <c r="F107" s="67">
        <f t="shared" ref="F107" si="20">D107/C107*100</f>
        <v>104.24875363799887</v>
      </c>
      <c r="G107" s="33"/>
      <c r="H107" s="33"/>
      <c r="I107" s="47"/>
      <c r="J107" s="103"/>
    </row>
    <row r="108" spans="1:10" s="3" customFormat="1" ht="37.5" x14ac:dyDescent="0.25">
      <c r="A108" s="89">
        <v>41051100</v>
      </c>
      <c r="B108" s="39" t="s">
        <v>329</v>
      </c>
      <c r="C108" s="33"/>
      <c r="D108" s="33"/>
      <c r="E108" s="47"/>
      <c r="F108" s="67"/>
      <c r="G108" s="33"/>
      <c r="H108" s="33">
        <v>6839.5439999999999</v>
      </c>
      <c r="I108" s="47">
        <f>SUM(H108-G108)</f>
        <v>6839.5439999999999</v>
      </c>
      <c r="J108" s="103"/>
    </row>
    <row r="109" spans="1:10" s="3" customFormat="1" ht="37.5" x14ac:dyDescent="0.25">
      <c r="A109" s="145" t="s">
        <v>259</v>
      </c>
      <c r="B109" s="39" t="s">
        <v>260</v>
      </c>
      <c r="C109" s="33"/>
      <c r="D109" s="33"/>
      <c r="E109" s="47"/>
      <c r="F109" s="67"/>
      <c r="G109" s="33"/>
      <c r="H109" s="33"/>
      <c r="I109" s="47"/>
      <c r="J109" s="150"/>
    </row>
    <row r="110" spans="1:10" s="3" customFormat="1" ht="56.25" x14ac:dyDescent="0.25">
      <c r="A110" s="145" t="s">
        <v>325</v>
      </c>
      <c r="B110" s="39" t="s">
        <v>326</v>
      </c>
      <c r="C110" s="33"/>
      <c r="D110" s="33"/>
      <c r="E110" s="47"/>
      <c r="F110" s="67"/>
      <c r="G110" s="33"/>
      <c r="H110" s="33"/>
      <c r="I110" s="47"/>
      <c r="J110" s="150"/>
    </row>
    <row r="111" spans="1:10" s="3" customFormat="1" ht="56.25" x14ac:dyDescent="0.25">
      <c r="A111" s="145" t="s">
        <v>316</v>
      </c>
      <c r="B111" s="39" t="s">
        <v>317</v>
      </c>
      <c r="C111" s="33"/>
      <c r="D111" s="33"/>
      <c r="E111" s="47"/>
      <c r="F111" s="67"/>
      <c r="G111" s="33"/>
      <c r="H111" s="33"/>
      <c r="I111" s="47"/>
      <c r="J111" s="150"/>
    </row>
    <row r="112" spans="1:10" s="3" customFormat="1" ht="27.75" customHeight="1" x14ac:dyDescent="0.25">
      <c r="A112" s="145" t="s">
        <v>261</v>
      </c>
      <c r="B112" s="141" t="s">
        <v>166</v>
      </c>
      <c r="C112" s="105">
        <v>2680.627</v>
      </c>
      <c r="D112" s="33">
        <v>3729.973</v>
      </c>
      <c r="E112" s="47">
        <f t="shared" si="19"/>
        <v>1049.346</v>
      </c>
      <c r="F112" s="67">
        <f t="shared" ref="F112" si="21">D112/C112*100</f>
        <v>139.14554318821678</v>
      </c>
      <c r="G112" s="33"/>
      <c r="H112" s="33"/>
      <c r="I112" s="47"/>
      <c r="J112" s="150"/>
    </row>
    <row r="113" spans="1:10" s="3" customFormat="1" ht="56.25" x14ac:dyDescent="0.25">
      <c r="A113" s="145" t="s">
        <v>284</v>
      </c>
      <c r="B113" s="139" t="s">
        <v>293</v>
      </c>
      <c r="C113" s="105">
        <v>45.045000000000002</v>
      </c>
      <c r="D113" s="33"/>
      <c r="E113" s="47">
        <f t="shared" si="19"/>
        <v>-45.045000000000002</v>
      </c>
      <c r="F113" s="67"/>
      <c r="G113" s="33"/>
      <c r="H113" s="33"/>
      <c r="I113" s="47"/>
      <c r="J113" s="150"/>
    </row>
    <row r="114" spans="1:10" s="3" customFormat="1" ht="56.25" x14ac:dyDescent="0.25">
      <c r="A114" s="145" t="s">
        <v>348</v>
      </c>
      <c r="B114" s="142" t="s">
        <v>349</v>
      </c>
      <c r="C114" s="135"/>
      <c r="D114" s="33">
        <v>731.02300000000002</v>
      </c>
      <c r="E114" s="47">
        <f t="shared" si="19"/>
        <v>731.02300000000002</v>
      </c>
      <c r="F114" s="67"/>
      <c r="G114" s="33"/>
      <c r="H114" s="33"/>
      <c r="I114" s="47"/>
      <c r="J114" s="150"/>
    </row>
    <row r="115" spans="1:10" s="22" customFormat="1" x14ac:dyDescent="0.25">
      <c r="A115" s="148"/>
      <c r="B115" s="136" t="s">
        <v>262</v>
      </c>
      <c r="C115" s="93">
        <f>C86+C87</f>
        <v>2827649.9539999999</v>
      </c>
      <c r="D115" s="93">
        <f>D86+D87</f>
        <v>3224880.4549999991</v>
      </c>
      <c r="E115" s="29">
        <f t="shared" si="19"/>
        <v>397230.50099999923</v>
      </c>
      <c r="F115" s="68">
        <f t="shared" ref="F115" si="22">D115/C115*100</f>
        <v>114.04807905724243</v>
      </c>
      <c r="G115" s="93">
        <f>G86+G87</f>
        <v>276862.19000000006</v>
      </c>
      <c r="H115" s="93">
        <f>H86+H87</f>
        <v>272672.342</v>
      </c>
      <c r="I115" s="29">
        <f>SUM(H115-G115)</f>
        <v>-4189.8480000000563</v>
      </c>
      <c r="J115" s="68">
        <f>SUM(H115/G115*100)</f>
        <v>98.486666597558852</v>
      </c>
    </row>
    <row r="116" spans="1:10" ht="22.5" x14ac:dyDescent="0.3">
      <c r="A116" s="176" t="s">
        <v>275</v>
      </c>
      <c r="B116" s="176"/>
      <c r="C116" s="176"/>
      <c r="D116" s="176"/>
      <c r="E116" s="176"/>
      <c r="F116" s="176"/>
      <c r="G116" s="176"/>
      <c r="H116" s="176"/>
      <c r="I116" s="176"/>
      <c r="J116" s="176"/>
    </row>
    <row r="117" spans="1:10" ht="20.25" x14ac:dyDescent="0.2">
      <c r="A117" s="27" t="s">
        <v>29</v>
      </c>
      <c r="B117" s="77" t="s">
        <v>4</v>
      </c>
      <c r="C117" s="29">
        <f>SUM(C118:C120)</f>
        <v>201911.647</v>
      </c>
      <c r="D117" s="29">
        <f>SUM(D118:D120)</f>
        <v>242777.75200000001</v>
      </c>
      <c r="E117" s="29">
        <f t="shared" ref="E117:E125" si="23">SUM(D117-C117)</f>
        <v>40866.10500000001</v>
      </c>
      <c r="F117" s="68">
        <f t="shared" ref="F117:F118" si="24">SUM(D117/C117*100)</f>
        <v>120.23959766917261</v>
      </c>
      <c r="G117" s="29">
        <f>SUM(G118:G120)</f>
        <v>7694.2250000000004</v>
      </c>
      <c r="H117" s="29">
        <f>SUM(H118:H120)</f>
        <v>18657.011999999999</v>
      </c>
      <c r="I117" s="29">
        <f>SUM(H117-G117)</f>
        <v>10962.786999999998</v>
      </c>
      <c r="J117" s="68" t="s">
        <v>447</v>
      </c>
    </row>
    <row r="118" spans="1:10" x14ac:dyDescent="0.3">
      <c r="A118" s="30" t="s">
        <v>113</v>
      </c>
      <c r="B118" s="31" t="s">
        <v>5</v>
      </c>
      <c r="C118" s="90">
        <f>201911.647-25-793.193</f>
        <v>201093.454</v>
      </c>
      <c r="D118" s="90">
        <f>475+2.977+3.003+0.2+27.094</f>
        <v>508.27399999999994</v>
      </c>
      <c r="E118" s="47">
        <f t="shared" si="23"/>
        <v>-200585.18</v>
      </c>
      <c r="F118" s="67">
        <f t="shared" si="24"/>
        <v>0.2527551195177144</v>
      </c>
      <c r="G118" s="90">
        <v>7694.2250000000004</v>
      </c>
      <c r="H118" s="90">
        <f>18657.012</f>
        <v>18657.011999999999</v>
      </c>
      <c r="I118" s="47">
        <f>SUM(H118-G118)</f>
        <v>10962.786999999998</v>
      </c>
      <c r="J118" s="67" t="s">
        <v>447</v>
      </c>
    </row>
    <row r="119" spans="1:10" x14ac:dyDescent="0.3">
      <c r="A119" s="30" t="s">
        <v>414</v>
      </c>
      <c r="B119" s="122" t="s">
        <v>415</v>
      </c>
      <c r="C119" s="90">
        <v>25</v>
      </c>
      <c r="D119" s="90"/>
      <c r="E119" s="47"/>
      <c r="F119" s="67"/>
      <c r="G119" s="90"/>
      <c r="H119" s="90"/>
      <c r="I119" s="47"/>
      <c r="J119" s="67"/>
    </row>
    <row r="120" spans="1:10" x14ac:dyDescent="0.3">
      <c r="A120" s="30" t="s">
        <v>173</v>
      </c>
      <c r="B120" s="31" t="s">
        <v>174</v>
      </c>
      <c r="C120" s="90">
        <f>716.4+22.641+8.024+46.128</f>
        <v>793.19299999999998</v>
      </c>
      <c r="D120" s="90">
        <f>242777.752-508.274</f>
        <v>242269.478</v>
      </c>
      <c r="E120" s="47">
        <f t="shared" ref="E120" si="25">SUM(D120-C120)</f>
        <v>241476.285</v>
      </c>
      <c r="F120" s="67" t="s">
        <v>446</v>
      </c>
      <c r="G120" s="90"/>
      <c r="H120" s="90"/>
      <c r="I120" s="47"/>
      <c r="J120" s="76"/>
    </row>
    <row r="121" spans="1:10" ht="20.25" x14ac:dyDescent="0.2">
      <c r="A121" s="27" t="s">
        <v>30</v>
      </c>
      <c r="B121" s="28" t="s">
        <v>6</v>
      </c>
      <c r="C121" s="29">
        <f>C122+C123+C126+C129+C130+C131+C134+C135+C138+C141+C142+C143+C149+C150+C148</f>
        <v>968564.65299999993</v>
      </c>
      <c r="D121" s="29">
        <f>D122+D123+D126+D129+D130+D131+D134+D135+D138+D141+D142+D143+D149+D150+D148+D146</f>
        <v>1127108.55</v>
      </c>
      <c r="E121" s="29">
        <f t="shared" si="23"/>
        <v>158543.89700000011</v>
      </c>
      <c r="F121" s="68">
        <f>SUM(D121/C121*100)</f>
        <v>116.36895343113456</v>
      </c>
      <c r="G121" s="29">
        <f>G122+G123+G126+G129+G130+G131+G134+G135+G138+G141+G142+G143+G149+G150+G148</f>
        <v>78136.67</v>
      </c>
      <c r="H121" s="29">
        <f>H122+H123+H126+H129+H130+H131+H134+H135+H138+H141+H142+H143+H149+H150+H148+H144+H145+H146+H147</f>
        <v>197876.19283999997</v>
      </c>
      <c r="I121" s="60">
        <f>SUM(H121-G121)</f>
        <v>119739.52283999998</v>
      </c>
      <c r="J121" s="103" t="s">
        <v>408</v>
      </c>
    </row>
    <row r="122" spans="1:10" x14ac:dyDescent="0.2">
      <c r="A122" s="30" t="s">
        <v>31</v>
      </c>
      <c r="B122" s="31" t="s">
        <v>178</v>
      </c>
      <c r="C122" s="32">
        <v>240208.70800000001</v>
      </c>
      <c r="D122" s="32">
        <v>291766.19300000003</v>
      </c>
      <c r="E122" s="47">
        <f t="shared" si="23"/>
        <v>51557.485000000015</v>
      </c>
      <c r="F122" s="67">
        <f>SUM(D122/C122*100)</f>
        <v>121.46362029473137</v>
      </c>
      <c r="G122" s="33">
        <f>20910.247-561.296</f>
        <v>20348.951000000001</v>
      </c>
      <c r="H122" s="33">
        <f>2865.98195+35494.161</f>
        <v>38360.142950000001</v>
      </c>
      <c r="I122" s="47">
        <f>SUM(H122-G122)</f>
        <v>18011.19195</v>
      </c>
      <c r="J122" s="76" t="s">
        <v>369</v>
      </c>
    </row>
    <row r="123" spans="1:10" s="25" customFormat="1" x14ac:dyDescent="0.2">
      <c r="A123" s="30" t="s">
        <v>32</v>
      </c>
      <c r="B123" s="31" t="s">
        <v>184</v>
      </c>
      <c r="C123" s="33">
        <f>SUM(C124:C125)</f>
        <v>118232.81200000001</v>
      </c>
      <c r="D123" s="33">
        <f>D124+D125</f>
        <v>172707.89099999997</v>
      </c>
      <c r="E123" s="47">
        <f t="shared" si="23"/>
        <v>54475.078999999969</v>
      </c>
      <c r="F123" s="67">
        <f t="shared" ref="F123:F143" si="26">SUM(D123/C123*100)</f>
        <v>146.07441714234113</v>
      </c>
      <c r="G123" s="33">
        <f>SUM(G124:G125)</f>
        <v>48116.793000000005</v>
      </c>
      <c r="H123" s="33">
        <f>SUM(H124:H125)</f>
        <v>103037.88443999999</v>
      </c>
      <c r="I123" s="47">
        <f>SUM(H123-G123)</f>
        <v>54921.091439999989</v>
      </c>
      <c r="J123" s="76" t="s">
        <v>370</v>
      </c>
    </row>
    <row r="124" spans="1:10" ht="37.5" x14ac:dyDescent="0.2">
      <c r="A124" s="30" t="s">
        <v>263</v>
      </c>
      <c r="B124" s="31" t="s">
        <v>288</v>
      </c>
      <c r="C124" s="32">
        <v>114105.132</v>
      </c>
      <c r="D124" s="33">
        <f>166766.849+884.417</f>
        <v>167651.26599999997</v>
      </c>
      <c r="E124" s="47">
        <f t="shared" si="23"/>
        <v>53546.133999999976</v>
      </c>
      <c r="F124" s="67">
        <f t="shared" si="26"/>
        <v>146.92701639396901</v>
      </c>
      <c r="G124" s="33">
        <f>48431.319-502.204</f>
        <v>47929.115000000005</v>
      </c>
      <c r="H124" s="33">
        <f>3011.73244+90161.245</f>
        <v>93172.977440000002</v>
      </c>
      <c r="I124" s="47">
        <f>SUM(H124-G124)</f>
        <v>45243.862439999997</v>
      </c>
      <c r="J124" s="76" t="s">
        <v>369</v>
      </c>
    </row>
    <row r="125" spans="1:10" ht="63.75" customHeight="1" x14ac:dyDescent="0.2">
      <c r="A125" s="30" t="s">
        <v>185</v>
      </c>
      <c r="B125" s="34" t="s">
        <v>373</v>
      </c>
      <c r="C125" s="33">
        <v>4127.68</v>
      </c>
      <c r="D125" s="33">
        <f>5056.625</f>
        <v>5056.625</v>
      </c>
      <c r="E125" s="47">
        <f t="shared" si="23"/>
        <v>928.94499999999971</v>
      </c>
      <c r="F125" s="67">
        <f t="shared" si="26"/>
        <v>122.50525719047987</v>
      </c>
      <c r="G125" s="33">
        <v>187.678</v>
      </c>
      <c r="H125" s="33">
        <v>9864.9069999999992</v>
      </c>
      <c r="I125" s="47">
        <f>SUM(H125-G125)</f>
        <v>9677.2289999999994</v>
      </c>
      <c r="J125" s="76" t="s">
        <v>461</v>
      </c>
    </row>
    <row r="126" spans="1:10" s="25" customFormat="1" x14ac:dyDescent="0.2">
      <c r="A126" s="30" t="s">
        <v>33</v>
      </c>
      <c r="B126" s="35" t="s">
        <v>186</v>
      </c>
      <c r="C126" s="33">
        <f>SUM(C127:C128)</f>
        <v>415425.48100000003</v>
      </c>
      <c r="D126" s="33">
        <f>SUM(D127:D128)</f>
        <v>425749.92100000003</v>
      </c>
      <c r="E126" s="47">
        <f>SUM(D126-C126)</f>
        <v>10324.440000000002</v>
      </c>
      <c r="F126" s="67">
        <f t="shared" si="26"/>
        <v>102.48526883212539</v>
      </c>
      <c r="G126" s="46"/>
      <c r="H126" s="46"/>
      <c r="I126" s="78"/>
      <c r="J126" s="76"/>
    </row>
    <row r="127" spans="1:10" ht="37.5" x14ac:dyDescent="0.2">
      <c r="A127" s="30" t="s">
        <v>187</v>
      </c>
      <c r="B127" s="31" t="s">
        <v>289</v>
      </c>
      <c r="C127" s="32">
        <v>411003.98700000002</v>
      </c>
      <c r="D127" s="32">
        <v>421738.47600000002</v>
      </c>
      <c r="E127" s="47">
        <f>SUM(D127-C127)</f>
        <v>10734.489000000001</v>
      </c>
      <c r="F127" s="67">
        <f t="shared" si="26"/>
        <v>102.61177247411956</v>
      </c>
      <c r="G127" s="33"/>
      <c r="H127" s="33"/>
      <c r="I127" s="78"/>
      <c r="J127" s="76"/>
    </row>
    <row r="128" spans="1:10" ht="75" customHeight="1" x14ac:dyDescent="0.2">
      <c r="A128" s="30" t="s">
        <v>188</v>
      </c>
      <c r="B128" s="34" t="s">
        <v>374</v>
      </c>
      <c r="C128" s="33">
        <v>4421.4939999999997</v>
      </c>
      <c r="D128" s="33">
        <v>4011.4450000000002</v>
      </c>
      <c r="E128" s="47">
        <f>SUM(D128-C128)</f>
        <v>-410.04899999999952</v>
      </c>
      <c r="F128" s="67">
        <f t="shared" si="26"/>
        <v>90.726007996392184</v>
      </c>
      <c r="G128" s="33"/>
      <c r="H128" s="33"/>
      <c r="I128" s="78"/>
      <c r="J128" s="76"/>
    </row>
    <row r="129" spans="1:10" ht="37.5" x14ac:dyDescent="0.2">
      <c r="A129" s="30" t="s">
        <v>189</v>
      </c>
      <c r="B129" s="31" t="s">
        <v>190</v>
      </c>
      <c r="C129" s="32">
        <v>22581.557000000001</v>
      </c>
      <c r="D129" s="32">
        <v>26603.208999999999</v>
      </c>
      <c r="E129" s="47">
        <f>SUM(D129-C129)</f>
        <v>4021.6519999999982</v>
      </c>
      <c r="F129" s="67">
        <f t="shared" si="26"/>
        <v>117.80945397166369</v>
      </c>
      <c r="G129" s="33">
        <v>6.2889999999999997</v>
      </c>
      <c r="H129" s="33">
        <v>28.72</v>
      </c>
      <c r="I129" s="47">
        <f>SUM(H129-G129)</f>
        <v>22.430999999999997</v>
      </c>
      <c r="J129" s="76" t="s">
        <v>409</v>
      </c>
    </row>
    <row r="130" spans="1:10" x14ac:dyDescent="0.2">
      <c r="A130" s="36" t="s">
        <v>182</v>
      </c>
      <c r="B130" s="37" t="s">
        <v>179</v>
      </c>
      <c r="C130" s="32">
        <v>39947.680999999997</v>
      </c>
      <c r="D130" s="32">
        <v>39926.606</v>
      </c>
      <c r="E130" s="47">
        <f t="shared" ref="E130" si="27">SUM(D130-C130)</f>
        <v>-21.07499999999709</v>
      </c>
      <c r="F130" s="67">
        <f t="shared" si="26"/>
        <v>99.947243495811449</v>
      </c>
      <c r="G130" s="47">
        <v>1930.5060000000001</v>
      </c>
      <c r="H130" s="47">
        <v>2939.6779999999999</v>
      </c>
      <c r="I130" s="47">
        <f>SUM(H130-G130)</f>
        <v>1009.1719999999998</v>
      </c>
      <c r="J130" s="76" t="s">
        <v>424</v>
      </c>
    </row>
    <row r="131" spans="1:10" s="25" customFormat="1" ht="37.5" x14ac:dyDescent="0.2">
      <c r="A131" s="36" t="s">
        <v>34</v>
      </c>
      <c r="B131" s="38" t="s">
        <v>180</v>
      </c>
      <c r="C131" s="33">
        <f>SUM(C132:C133)</f>
        <v>101575.914</v>
      </c>
      <c r="D131" s="33">
        <f>SUM(D132:D133)</f>
        <v>111391.29399999999</v>
      </c>
      <c r="E131" s="47">
        <f t="shared" ref="E131:E141" si="28">SUM(D131-C131)</f>
        <v>9815.3799999999901</v>
      </c>
      <c r="F131" s="67">
        <f t="shared" si="26"/>
        <v>109.66309788755628</v>
      </c>
      <c r="G131" s="33">
        <f>G132</f>
        <v>5693.36</v>
      </c>
      <c r="H131" s="33">
        <f>H132</f>
        <v>27195.572</v>
      </c>
      <c r="I131" s="47">
        <f>SUM(H131-G131)</f>
        <v>21502.212</v>
      </c>
      <c r="J131" s="76" t="s">
        <v>410</v>
      </c>
    </row>
    <row r="132" spans="1:10" ht="37.5" x14ac:dyDescent="0.2">
      <c r="A132" s="36" t="s">
        <v>191</v>
      </c>
      <c r="B132" s="38" t="s">
        <v>192</v>
      </c>
      <c r="C132" s="33">
        <v>90997.304000000004</v>
      </c>
      <c r="D132" s="33">
        <v>98724.157999999996</v>
      </c>
      <c r="E132" s="47">
        <f t="shared" si="28"/>
        <v>7726.8539999999921</v>
      </c>
      <c r="F132" s="67">
        <f t="shared" si="26"/>
        <v>108.49129991807229</v>
      </c>
      <c r="G132" s="33">
        <v>5693.36</v>
      </c>
      <c r="H132" s="47">
        <v>27195.572</v>
      </c>
      <c r="I132" s="47">
        <f>SUM(H132-G132)</f>
        <v>21502.212</v>
      </c>
      <c r="J132" s="76" t="s">
        <v>410</v>
      </c>
    </row>
    <row r="133" spans="1:10" ht="37.5" x14ac:dyDescent="0.2">
      <c r="A133" s="36" t="s">
        <v>193</v>
      </c>
      <c r="B133" s="38" t="s">
        <v>203</v>
      </c>
      <c r="C133" s="33">
        <v>10578.61</v>
      </c>
      <c r="D133" s="33">
        <v>12667.136</v>
      </c>
      <c r="E133" s="47">
        <f t="shared" si="28"/>
        <v>2088.5259999999998</v>
      </c>
      <c r="F133" s="67">
        <f t="shared" si="26"/>
        <v>119.74291518450913</v>
      </c>
      <c r="G133" s="33"/>
      <c r="H133" s="33"/>
      <c r="I133" s="47"/>
      <c r="J133" s="76"/>
    </row>
    <row r="134" spans="1:10" x14ac:dyDescent="0.2">
      <c r="A134" s="30" t="s">
        <v>194</v>
      </c>
      <c r="B134" s="39" t="s">
        <v>278</v>
      </c>
      <c r="C134" s="32">
        <v>2500.0059999999999</v>
      </c>
      <c r="D134" s="32">
        <v>2006.8309999999999</v>
      </c>
      <c r="E134" s="47">
        <f t="shared" si="28"/>
        <v>-493.17499999999995</v>
      </c>
      <c r="F134" s="67">
        <f t="shared" si="26"/>
        <v>80.273047344686375</v>
      </c>
      <c r="G134" s="33">
        <v>381.39400000000001</v>
      </c>
      <c r="H134" s="47"/>
      <c r="I134" s="47">
        <f>SUM(H134-G134)</f>
        <v>-381.39400000000001</v>
      </c>
      <c r="J134" s="76">
        <f>SUM(H134/G134*100)</f>
        <v>0</v>
      </c>
    </row>
    <row r="135" spans="1:10" s="25" customFormat="1" x14ac:dyDescent="0.2">
      <c r="A135" s="36" t="s">
        <v>195</v>
      </c>
      <c r="B135" s="38" t="s">
        <v>163</v>
      </c>
      <c r="C135" s="33">
        <f>C136+C137</f>
        <v>17655.445</v>
      </c>
      <c r="D135" s="33">
        <f>D136+D137</f>
        <v>17510.791000000001</v>
      </c>
      <c r="E135" s="47">
        <f t="shared" si="28"/>
        <v>-144.65399999999863</v>
      </c>
      <c r="F135" s="67">
        <f t="shared" si="26"/>
        <v>99.180683352925982</v>
      </c>
      <c r="G135" s="33">
        <f>G136+G137</f>
        <v>55.875</v>
      </c>
      <c r="H135" s="33">
        <f>H136+H137</f>
        <v>632.60699999999997</v>
      </c>
      <c r="I135" s="47">
        <f>SUM(H135-G135)</f>
        <v>576.73199999999997</v>
      </c>
      <c r="J135" s="76" t="s">
        <v>411</v>
      </c>
    </row>
    <row r="136" spans="1:10" x14ac:dyDescent="0.2">
      <c r="A136" s="36" t="s">
        <v>196</v>
      </c>
      <c r="B136" s="39" t="s">
        <v>114</v>
      </c>
      <c r="C136" s="32">
        <v>17425.855</v>
      </c>
      <c r="D136" s="32">
        <v>17246.991000000002</v>
      </c>
      <c r="E136" s="47">
        <f t="shared" si="28"/>
        <v>-178.86399999999776</v>
      </c>
      <c r="F136" s="67">
        <f t="shared" si="26"/>
        <v>98.97357116767013</v>
      </c>
      <c r="G136" s="33">
        <v>55.875</v>
      </c>
      <c r="H136" s="47">
        <v>632.60699999999997</v>
      </c>
      <c r="I136" s="47">
        <f>SUM(H136-G136)</f>
        <v>576.73199999999997</v>
      </c>
      <c r="J136" s="76" t="s">
        <v>411</v>
      </c>
    </row>
    <row r="137" spans="1:10" x14ac:dyDescent="0.2">
      <c r="A137" s="36" t="s">
        <v>197</v>
      </c>
      <c r="B137" s="39" t="s">
        <v>115</v>
      </c>
      <c r="C137" s="32">
        <v>229.59</v>
      </c>
      <c r="D137" s="32">
        <v>263.8</v>
      </c>
      <c r="E137" s="47">
        <f t="shared" si="28"/>
        <v>34.210000000000008</v>
      </c>
      <c r="F137" s="67">
        <f t="shared" si="26"/>
        <v>114.90047475935363</v>
      </c>
      <c r="G137" s="33"/>
      <c r="H137" s="33"/>
      <c r="I137" s="47"/>
      <c r="J137" s="76"/>
    </row>
    <row r="138" spans="1:10" s="25" customFormat="1" x14ac:dyDescent="0.2">
      <c r="A138" s="36" t="s">
        <v>91</v>
      </c>
      <c r="B138" s="38" t="s">
        <v>176</v>
      </c>
      <c r="C138" s="33">
        <f>SUM(C139:C140)</f>
        <v>7039.8689999999997</v>
      </c>
      <c r="D138" s="33">
        <f>SUM(D139:D140)</f>
        <v>6199.0349999999999</v>
      </c>
      <c r="E138" s="47">
        <f t="shared" si="28"/>
        <v>-840.83399999999983</v>
      </c>
      <c r="F138" s="67">
        <f t="shared" si="26"/>
        <v>88.056112975965888</v>
      </c>
      <c r="G138" s="33"/>
      <c r="H138" s="33">
        <f t="shared" ref="H138" si="29">SUM(H139:H140)</f>
        <v>17.684999999999999</v>
      </c>
      <c r="I138" s="47">
        <f>SUM(H138-G138)</f>
        <v>17.684999999999999</v>
      </c>
      <c r="J138" s="76"/>
    </row>
    <row r="139" spans="1:10" x14ac:dyDescent="0.2">
      <c r="A139" s="36" t="s">
        <v>198</v>
      </c>
      <c r="B139" s="38" t="s">
        <v>199</v>
      </c>
      <c r="C139" s="32">
        <v>1357.597</v>
      </c>
      <c r="D139" s="32">
        <v>889.17499999999995</v>
      </c>
      <c r="E139" s="47">
        <f t="shared" si="28"/>
        <v>-468.42200000000003</v>
      </c>
      <c r="F139" s="67">
        <f t="shared" si="26"/>
        <v>65.496240784268082</v>
      </c>
      <c r="G139" s="33"/>
      <c r="H139" s="33">
        <v>17.684999999999999</v>
      </c>
      <c r="I139" s="47">
        <f>SUM(H139-G139)</f>
        <v>17.684999999999999</v>
      </c>
      <c r="J139" s="76"/>
    </row>
    <row r="140" spans="1:10" x14ac:dyDescent="0.2">
      <c r="A140" s="36" t="s">
        <v>200</v>
      </c>
      <c r="B140" s="38" t="s">
        <v>201</v>
      </c>
      <c r="C140" s="32">
        <v>5682.2719999999999</v>
      </c>
      <c r="D140" s="32">
        <v>5309.86</v>
      </c>
      <c r="E140" s="47">
        <f t="shared" si="28"/>
        <v>-372.41200000000026</v>
      </c>
      <c r="F140" s="67">
        <f t="shared" si="26"/>
        <v>93.446072275315217</v>
      </c>
      <c r="G140" s="33"/>
      <c r="H140" s="33"/>
      <c r="I140" s="47"/>
      <c r="J140" s="76"/>
    </row>
    <row r="141" spans="1:10" x14ac:dyDescent="0.2">
      <c r="A141" s="30" t="s">
        <v>87</v>
      </c>
      <c r="B141" s="39" t="s">
        <v>202</v>
      </c>
      <c r="C141" s="32">
        <v>2258.1410000000001</v>
      </c>
      <c r="D141" s="32">
        <v>2700.819</v>
      </c>
      <c r="E141" s="47">
        <f t="shared" si="28"/>
        <v>442.67799999999988</v>
      </c>
      <c r="F141" s="67">
        <f t="shared" si="26"/>
        <v>119.60364742502793</v>
      </c>
      <c r="G141" s="33"/>
      <c r="H141" s="33"/>
      <c r="I141" s="47"/>
      <c r="J141" s="76"/>
    </row>
    <row r="142" spans="1:10" ht="37.5" x14ac:dyDescent="0.2">
      <c r="A142" s="40" t="s">
        <v>297</v>
      </c>
      <c r="B142" s="41" t="s">
        <v>298</v>
      </c>
      <c r="C142" s="42"/>
      <c r="D142" s="33">
        <v>3518.7420000000002</v>
      </c>
      <c r="E142" s="47">
        <f>SUM(D142-C142)</f>
        <v>3518.7420000000002</v>
      </c>
      <c r="F142" s="67"/>
      <c r="G142" s="33"/>
      <c r="H142" s="33"/>
      <c r="I142" s="47"/>
      <c r="J142" s="76"/>
    </row>
    <row r="143" spans="1:10" ht="56.25" x14ac:dyDescent="0.2">
      <c r="A143" s="30" t="s">
        <v>384</v>
      </c>
      <c r="B143" s="72" t="s">
        <v>385</v>
      </c>
      <c r="C143" s="43">
        <v>1139.039</v>
      </c>
      <c r="D143" s="73"/>
      <c r="E143" s="47">
        <f t="shared" ref="E143:E149" si="30">SUM(D143-C143)</f>
        <v>-1139.039</v>
      </c>
      <c r="F143" s="67">
        <f t="shared" si="26"/>
        <v>0</v>
      </c>
      <c r="G143" s="33"/>
      <c r="H143" s="33"/>
      <c r="I143" s="47"/>
      <c r="J143" s="76"/>
    </row>
    <row r="144" spans="1:10" ht="93.75" x14ac:dyDescent="0.2">
      <c r="A144" s="44" t="s">
        <v>402</v>
      </c>
      <c r="B144" s="38" t="s">
        <v>403</v>
      </c>
      <c r="C144" s="42"/>
      <c r="D144" s="73"/>
      <c r="E144" s="47"/>
      <c r="F144" s="67"/>
      <c r="G144" s="33"/>
      <c r="H144" s="33">
        <v>1994.895</v>
      </c>
      <c r="I144" s="47">
        <f t="shared" ref="I144:I149" si="31">SUM(H144-G144)</f>
        <v>1994.895</v>
      </c>
      <c r="J144" s="76"/>
    </row>
    <row r="145" spans="1:10" ht="93.75" x14ac:dyDescent="0.2">
      <c r="A145" s="44" t="s">
        <v>404</v>
      </c>
      <c r="B145" s="38" t="s">
        <v>405</v>
      </c>
      <c r="C145" s="42"/>
      <c r="D145" s="73"/>
      <c r="E145" s="47"/>
      <c r="F145" s="67"/>
      <c r="G145" s="33"/>
      <c r="H145" s="33">
        <v>4654.7560000000003</v>
      </c>
      <c r="I145" s="47">
        <f t="shared" si="31"/>
        <v>4654.7560000000003</v>
      </c>
      <c r="J145" s="76"/>
    </row>
    <row r="146" spans="1:10" ht="75" x14ac:dyDescent="0.2">
      <c r="A146" s="30" t="s">
        <v>400</v>
      </c>
      <c r="B146" s="38" t="s">
        <v>401</v>
      </c>
      <c r="C146" s="42"/>
      <c r="D146" s="33">
        <v>3.7989999999999999</v>
      </c>
      <c r="E146" s="47">
        <f t="shared" si="30"/>
        <v>3.7989999999999999</v>
      </c>
      <c r="F146" s="67"/>
      <c r="G146" s="33"/>
      <c r="H146" s="33">
        <v>79.569999999999993</v>
      </c>
      <c r="I146" s="47">
        <f t="shared" si="31"/>
        <v>79.569999999999993</v>
      </c>
      <c r="J146" s="76"/>
    </row>
    <row r="147" spans="1:10" ht="56.25" x14ac:dyDescent="0.2">
      <c r="A147" s="30" t="s">
        <v>406</v>
      </c>
      <c r="B147" s="38" t="s">
        <v>407</v>
      </c>
      <c r="C147" s="42"/>
      <c r="D147" s="33"/>
      <c r="E147" s="47"/>
      <c r="F147" s="67"/>
      <c r="G147" s="33"/>
      <c r="H147" s="33">
        <v>750.32299999999998</v>
      </c>
      <c r="I147" s="47">
        <f t="shared" si="31"/>
        <v>750.32299999999998</v>
      </c>
      <c r="J147" s="76"/>
    </row>
    <row r="148" spans="1:10" x14ac:dyDescent="0.3">
      <c r="A148" s="30" t="s">
        <v>342</v>
      </c>
      <c r="B148" s="124" t="s">
        <v>343</v>
      </c>
      <c r="C148" s="125"/>
      <c r="D148" s="33"/>
      <c r="E148" s="47">
        <f t="shared" si="30"/>
        <v>0</v>
      </c>
      <c r="F148" s="67"/>
      <c r="G148" s="61">
        <f>561.296+502.204+540.002</f>
        <v>1603.502</v>
      </c>
      <c r="H148" s="33">
        <v>2640.8654499999998</v>
      </c>
      <c r="I148" s="47">
        <f t="shared" si="31"/>
        <v>1037.3634499999998</v>
      </c>
      <c r="J148" s="76" t="s">
        <v>426</v>
      </c>
    </row>
    <row r="149" spans="1:10" ht="37.5" x14ac:dyDescent="0.2">
      <c r="A149" s="30" t="s">
        <v>331</v>
      </c>
      <c r="B149" s="38" t="s">
        <v>330</v>
      </c>
      <c r="C149" s="125"/>
      <c r="D149" s="33"/>
      <c r="E149" s="47">
        <f t="shared" si="30"/>
        <v>0</v>
      </c>
      <c r="F149" s="67"/>
      <c r="G149" s="33"/>
      <c r="H149" s="33">
        <v>15543.494000000001</v>
      </c>
      <c r="I149" s="47">
        <f t="shared" si="31"/>
        <v>15543.494000000001</v>
      </c>
      <c r="J149" s="76"/>
    </row>
    <row r="150" spans="1:10" ht="37.5" x14ac:dyDescent="0.2">
      <c r="A150" s="30" t="s">
        <v>344</v>
      </c>
      <c r="B150" s="38" t="s">
        <v>345</v>
      </c>
      <c r="C150" s="125"/>
      <c r="D150" s="33">
        <v>27023.419000000002</v>
      </c>
      <c r="E150" s="47">
        <f t="shared" ref="E150" si="32">SUM(D150-C150)</f>
        <v>27023.419000000002</v>
      </c>
      <c r="F150" s="67"/>
      <c r="G150" s="33"/>
      <c r="H150" s="33"/>
      <c r="I150" s="47"/>
      <c r="J150" s="76"/>
    </row>
    <row r="151" spans="1:10" ht="20.25" x14ac:dyDescent="0.2">
      <c r="A151" s="53" t="s">
        <v>35</v>
      </c>
      <c r="B151" s="54" t="s">
        <v>7</v>
      </c>
      <c r="C151" s="60">
        <f>SUM(C152:C154)+C155+C157</f>
        <v>59165.236000000004</v>
      </c>
      <c r="D151" s="60">
        <f>SUM(D152:D154)+D155+D157</f>
        <v>74995.942509999993</v>
      </c>
      <c r="E151" s="60">
        <f t="shared" ref="E151:E154" si="33">SUM(D151-C151)</f>
        <v>15830.706509999989</v>
      </c>
      <c r="F151" s="64">
        <f t="shared" ref="F151:F154" si="34">SUM(D151/C151*100)</f>
        <v>126.75677066512503</v>
      </c>
      <c r="G151" s="60">
        <f>SUM(G152:G154)+G155+G157+G158</f>
        <v>22699.431</v>
      </c>
      <c r="H151" s="60">
        <f>SUM(H152:H154)+H155+H157+H158</f>
        <v>43290.099080000007</v>
      </c>
      <c r="I151" s="60">
        <f>SUM(H151-G151)</f>
        <v>20590.668080000007</v>
      </c>
      <c r="J151" s="64" t="s">
        <v>369</v>
      </c>
    </row>
    <row r="152" spans="1:10" x14ac:dyDescent="0.3">
      <c r="A152" s="55" t="s">
        <v>36</v>
      </c>
      <c r="B152" s="56" t="s">
        <v>37</v>
      </c>
      <c r="C152" s="61">
        <v>42788.521999999997</v>
      </c>
      <c r="D152" s="62">
        <v>50533.23474</v>
      </c>
      <c r="E152" s="63">
        <f t="shared" si="33"/>
        <v>7744.7127400000027</v>
      </c>
      <c r="F152" s="65">
        <f t="shared" si="34"/>
        <v>118.09997723221196</v>
      </c>
      <c r="G152" s="61">
        <v>20696.057000000001</v>
      </c>
      <c r="H152" s="62">
        <f>29180.956+5705.03657</f>
        <v>34885.992570000002</v>
      </c>
      <c r="I152" s="63">
        <f>SUM(H152-G152)</f>
        <v>14189.935570000001</v>
      </c>
      <c r="J152" s="65" t="s">
        <v>420</v>
      </c>
    </row>
    <row r="153" spans="1:10" x14ac:dyDescent="0.3">
      <c r="A153" s="55" t="s">
        <v>92</v>
      </c>
      <c r="B153" s="57" t="s">
        <v>116</v>
      </c>
      <c r="C153" s="61">
        <v>3147.9</v>
      </c>
      <c r="D153" s="62">
        <v>10667.97422</v>
      </c>
      <c r="E153" s="63">
        <f t="shared" si="33"/>
        <v>7520.0742200000004</v>
      </c>
      <c r="F153" s="65" t="s">
        <v>448</v>
      </c>
      <c r="G153" s="63">
        <v>1075.4069999999999</v>
      </c>
      <c r="H153" s="62">
        <v>6222.6637600000004</v>
      </c>
      <c r="I153" s="63">
        <f>SUM(H153-G153)</f>
        <v>5147.2567600000002</v>
      </c>
      <c r="J153" s="65" t="s">
        <v>449</v>
      </c>
    </row>
    <row r="154" spans="1:10" x14ac:dyDescent="0.3">
      <c r="A154" s="55" t="s">
        <v>93</v>
      </c>
      <c r="B154" s="58" t="s">
        <v>170</v>
      </c>
      <c r="C154" s="61">
        <v>225.785</v>
      </c>
      <c r="D154" s="62"/>
      <c r="E154" s="63">
        <f t="shared" si="33"/>
        <v>-225.785</v>
      </c>
      <c r="F154" s="65">
        <f t="shared" si="34"/>
        <v>0</v>
      </c>
      <c r="G154" s="61"/>
      <c r="H154" s="63"/>
      <c r="I154" s="63"/>
      <c r="J154" s="65"/>
    </row>
    <row r="155" spans="1:10" x14ac:dyDescent="0.3">
      <c r="A155" s="55" t="s">
        <v>94</v>
      </c>
      <c r="B155" s="58" t="s">
        <v>171</v>
      </c>
      <c r="C155" s="61">
        <f>SUM(C156)</f>
        <v>11491.066999999999</v>
      </c>
      <c r="D155" s="61">
        <f>SUM(D156)</f>
        <v>12511.098550000001</v>
      </c>
      <c r="E155" s="63">
        <f t="shared" ref="E155:E159" si="35">SUM(D155-C155)</f>
        <v>1020.0315500000015</v>
      </c>
      <c r="F155" s="65">
        <f t="shared" ref="F155:F159" si="36">SUM(D155/C155*100)</f>
        <v>108.87673485847746</v>
      </c>
      <c r="G155" s="61"/>
      <c r="H155" s="61">
        <f>H156</f>
        <v>2170.14275</v>
      </c>
      <c r="I155" s="47">
        <f>SUM(H155-G155)</f>
        <v>2170.14275</v>
      </c>
      <c r="J155" s="67"/>
    </row>
    <row r="156" spans="1:10" ht="37.5" x14ac:dyDescent="0.3">
      <c r="A156" s="55" t="s">
        <v>95</v>
      </c>
      <c r="B156" s="58" t="s">
        <v>117</v>
      </c>
      <c r="C156" s="61">
        <f>11491.067</f>
        <v>11491.066999999999</v>
      </c>
      <c r="D156" s="61">
        <f>12266.038+245.06055</f>
        <v>12511.098550000001</v>
      </c>
      <c r="E156" s="63">
        <f t="shared" si="35"/>
        <v>1020.0315500000015</v>
      </c>
      <c r="F156" s="65">
        <f t="shared" si="36"/>
        <v>108.87673485847746</v>
      </c>
      <c r="G156" s="61"/>
      <c r="H156" s="61">
        <v>2170.14275</v>
      </c>
      <c r="I156" s="47">
        <f>SUM(H156-G156)</f>
        <v>2170.14275</v>
      </c>
      <c r="J156" s="67"/>
    </row>
    <row r="157" spans="1:10" x14ac:dyDescent="0.3">
      <c r="A157" s="55" t="s">
        <v>96</v>
      </c>
      <c r="B157" s="58" t="s">
        <v>118</v>
      </c>
      <c r="C157" s="61">
        <f>SUM(C159:C159)</f>
        <v>1511.962</v>
      </c>
      <c r="D157" s="61">
        <f>SUM(D159:D159)</f>
        <v>1283.635</v>
      </c>
      <c r="E157" s="63">
        <f t="shared" si="35"/>
        <v>-228.327</v>
      </c>
      <c r="F157" s="65">
        <f t="shared" si="36"/>
        <v>84.898628404682128</v>
      </c>
      <c r="G157" s="61"/>
      <c r="H157" s="61"/>
      <c r="I157" s="63"/>
      <c r="J157" s="66"/>
    </row>
    <row r="158" spans="1:10" x14ac:dyDescent="0.3">
      <c r="A158" s="55" t="s">
        <v>376</v>
      </c>
      <c r="B158" s="59" t="s">
        <v>378</v>
      </c>
      <c r="C158" s="61"/>
      <c r="D158" s="61"/>
      <c r="E158" s="63"/>
      <c r="F158" s="65"/>
      <c r="G158" s="61">
        <v>927.96699999999998</v>
      </c>
      <c r="H158" s="61">
        <v>11.3</v>
      </c>
      <c r="I158" s="47">
        <f>SUM(H158-G158)</f>
        <v>-916.66700000000003</v>
      </c>
      <c r="J158" s="67">
        <f>SUM(H158/G158*100)</f>
        <v>1.2177157161838732</v>
      </c>
    </row>
    <row r="159" spans="1:10" x14ac:dyDescent="0.3">
      <c r="A159" s="55" t="s">
        <v>97</v>
      </c>
      <c r="B159" s="58" t="s">
        <v>119</v>
      </c>
      <c r="C159" s="61">
        <v>1511.962</v>
      </c>
      <c r="D159" s="62">
        <v>1283.635</v>
      </c>
      <c r="E159" s="63">
        <f t="shared" si="35"/>
        <v>-228.327</v>
      </c>
      <c r="F159" s="65">
        <f t="shared" si="36"/>
        <v>84.898628404682128</v>
      </c>
      <c r="G159" s="61"/>
      <c r="H159" s="61"/>
      <c r="I159" s="63"/>
      <c r="J159" s="66"/>
    </row>
    <row r="160" spans="1:10" ht="20.25" x14ac:dyDescent="0.2">
      <c r="A160" s="27" t="s">
        <v>38</v>
      </c>
      <c r="B160" s="28" t="s">
        <v>8</v>
      </c>
      <c r="C160" s="29">
        <f>C161+C164+C166+C171+C178+C179+C181+C185+C186+C165+C177+C175+C169</f>
        <v>81753.513999999996</v>
      </c>
      <c r="D160" s="29">
        <f>D161+D164+D166+D171+D178+D179+D181+D185+D186+D165+D177+D175+D169</f>
        <v>109012.588</v>
      </c>
      <c r="E160" s="29">
        <f>SUM(D160-C160)</f>
        <v>27259.074000000008</v>
      </c>
      <c r="F160" s="68">
        <f>SUM(D160/C160*100)</f>
        <v>133.34299978836387</v>
      </c>
      <c r="G160" s="29">
        <f>G161+G164+G166+G171+G178+G179+G181+G185+G186+G165+G177+G175</f>
        <v>8077.7709999999988</v>
      </c>
      <c r="H160" s="29">
        <f>H161+H164+H166+H171+H178+H179+H181+H185+H186+H165+H177+H175</f>
        <v>19438.201999999997</v>
      </c>
      <c r="I160" s="29">
        <f>SUM(H160-G160)</f>
        <v>11360.430999999999</v>
      </c>
      <c r="J160" s="68" t="s">
        <v>447</v>
      </c>
    </row>
    <row r="161" spans="1:10" ht="37.5" x14ac:dyDescent="0.2">
      <c r="A161" s="30" t="s">
        <v>39</v>
      </c>
      <c r="B161" s="39" t="s">
        <v>153</v>
      </c>
      <c r="C161" s="33">
        <f>SUM(C162:C163)</f>
        <v>26398.232</v>
      </c>
      <c r="D161" s="33">
        <f>SUM(D162:D163)</f>
        <v>34804.534999999996</v>
      </c>
      <c r="E161" s="47">
        <f t="shared" ref="E161" si="37">SUM(D161-C161)</f>
        <v>8406.3029999999962</v>
      </c>
      <c r="F161" s="67">
        <f t="shared" ref="F161:F163" si="38">SUM(D161/C161*100)</f>
        <v>131.84418941389711</v>
      </c>
      <c r="G161" s="33"/>
      <c r="H161" s="33"/>
      <c r="I161" s="47"/>
      <c r="J161" s="76"/>
    </row>
    <row r="162" spans="1:10" x14ac:dyDescent="0.2">
      <c r="A162" s="30" t="s">
        <v>40</v>
      </c>
      <c r="B162" s="39" t="s">
        <v>175</v>
      </c>
      <c r="C162" s="33">
        <v>30.576000000000001</v>
      </c>
      <c r="D162" s="32">
        <v>30.259</v>
      </c>
      <c r="E162" s="47">
        <f t="shared" ref="E162:E187" si="39">SUM(D162-C162)</f>
        <v>-0.31700000000000017</v>
      </c>
      <c r="F162" s="67">
        <f t="shared" si="38"/>
        <v>98.963239141810561</v>
      </c>
      <c r="G162" s="33">
        <v>0</v>
      </c>
      <c r="H162" s="33"/>
      <c r="I162" s="47"/>
      <c r="J162" s="76"/>
    </row>
    <row r="163" spans="1:10" ht="37.5" x14ac:dyDescent="0.2">
      <c r="A163" s="30" t="s">
        <v>41</v>
      </c>
      <c r="B163" s="50" t="s">
        <v>12</v>
      </c>
      <c r="C163" s="33">
        <v>26367.655999999999</v>
      </c>
      <c r="D163" s="33">
        <f>34774.276</f>
        <v>34774.275999999998</v>
      </c>
      <c r="E163" s="47">
        <f t="shared" si="39"/>
        <v>8406.619999999999</v>
      </c>
      <c r="F163" s="67">
        <f t="shared" si="38"/>
        <v>131.88231824626354</v>
      </c>
      <c r="G163" s="33">
        <v>0</v>
      </c>
      <c r="H163" s="33"/>
      <c r="I163" s="47"/>
      <c r="J163" s="76"/>
    </row>
    <row r="164" spans="1:10" x14ac:dyDescent="0.2">
      <c r="A164" s="51" t="s">
        <v>42</v>
      </c>
      <c r="B164" s="31" t="s">
        <v>49</v>
      </c>
      <c r="C164" s="33">
        <v>328.94400000000002</v>
      </c>
      <c r="D164" s="32">
        <v>347.358</v>
      </c>
      <c r="E164" s="47">
        <f t="shared" si="39"/>
        <v>18.413999999999987</v>
      </c>
      <c r="F164" s="67">
        <f t="shared" ref="F164:F187" si="40">SUM(D164/C164*100)</f>
        <v>105.59791332263242</v>
      </c>
      <c r="G164" s="33"/>
      <c r="H164" s="33"/>
      <c r="I164" s="47"/>
      <c r="J164" s="76"/>
    </row>
    <row r="165" spans="1:10" x14ac:dyDescent="0.2">
      <c r="A165" s="30" t="s">
        <v>43</v>
      </c>
      <c r="B165" s="35" t="s">
        <v>154</v>
      </c>
      <c r="C165" s="33">
        <v>99.734999999999999</v>
      </c>
      <c r="D165" s="32">
        <v>122.77200000000001</v>
      </c>
      <c r="E165" s="47">
        <f t="shared" ref="E165" si="41">SUM(D165-C165)</f>
        <v>23.037000000000006</v>
      </c>
      <c r="F165" s="67">
        <f t="shared" ref="F165" si="42">SUM(D165/C165*100)</f>
        <v>123.09821025718153</v>
      </c>
      <c r="G165" s="33"/>
      <c r="H165" s="33"/>
      <c r="I165" s="47"/>
      <c r="J165" s="76"/>
    </row>
    <row r="166" spans="1:10" ht="37.5" x14ac:dyDescent="0.2">
      <c r="A166" s="30" t="s">
        <v>44</v>
      </c>
      <c r="B166" s="35" t="s">
        <v>155</v>
      </c>
      <c r="C166" s="33">
        <f>C167+C168</f>
        <v>23334.156000000003</v>
      </c>
      <c r="D166" s="33">
        <f>D167+D168</f>
        <v>25641.940999999999</v>
      </c>
      <c r="E166" s="47">
        <f t="shared" si="39"/>
        <v>2307.7849999999962</v>
      </c>
      <c r="F166" s="67">
        <f t="shared" si="40"/>
        <v>109.89015844412798</v>
      </c>
      <c r="G166" s="33">
        <f>G167+G168</f>
        <v>5692.2889999999998</v>
      </c>
      <c r="H166" s="33">
        <f>H167+H168</f>
        <v>8434.6839999999993</v>
      </c>
      <c r="I166" s="47">
        <f>SUM(H166-G166)</f>
        <v>2742.3949999999995</v>
      </c>
      <c r="J166" s="67">
        <f>SUM(H166/G166*100)</f>
        <v>148.17736766351811</v>
      </c>
    </row>
    <row r="167" spans="1:10" ht="37.5" x14ac:dyDescent="0.2">
      <c r="A167" s="30" t="s">
        <v>45</v>
      </c>
      <c r="B167" s="35" t="s">
        <v>50</v>
      </c>
      <c r="C167" s="33">
        <v>19170.061000000002</v>
      </c>
      <c r="D167" s="33">
        <v>20320.855</v>
      </c>
      <c r="E167" s="47">
        <f t="shared" si="39"/>
        <v>1150.7939999999981</v>
      </c>
      <c r="F167" s="67">
        <f t="shared" si="40"/>
        <v>106.00307948941841</v>
      </c>
      <c r="G167" s="33">
        <v>5673.1329999999998</v>
      </c>
      <c r="H167" s="47">
        <v>6312.9989999999998</v>
      </c>
      <c r="I167" s="47">
        <f>SUM(H167-G167)</f>
        <v>639.86599999999999</v>
      </c>
      <c r="J167" s="67">
        <f>SUM(H167/G167*100)</f>
        <v>111.27888240941999</v>
      </c>
    </row>
    <row r="168" spans="1:10" x14ac:dyDescent="0.2">
      <c r="A168" s="30" t="s">
        <v>46</v>
      </c>
      <c r="B168" s="35" t="s">
        <v>156</v>
      </c>
      <c r="C168" s="33">
        <v>4164.0950000000003</v>
      </c>
      <c r="D168" s="32">
        <f>5321.086</f>
        <v>5321.0860000000002</v>
      </c>
      <c r="E168" s="47">
        <f t="shared" ref="E168" si="43">SUM(D168-C168)</f>
        <v>1156.991</v>
      </c>
      <c r="F168" s="67">
        <f t="shared" si="40"/>
        <v>127.78493286056154</v>
      </c>
      <c r="G168" s="33">
        <v>19.155999999999999</v>
      </c>
      <c r="H168" s="47">
        <v>2121.6849999999999</v>
      </c>
      <c r="I168" s="47">
        <f>SUM(H168-G168)</f>
        <v>2102.529</v>
      </c>
      <c r="J168" s="67" t="s">
        <v>462</v>
      </c>
    </row>
    <row r="169" spans="1:10" x14ac:dyDescent="0.2">
      <c r="A169" s="30" t="s">
        <v>386</v>
      </c>
      <c r="B169" s="35" t="s">
        <v>388</v>
      </c>
      <c r="C169" s="33"/>
      <c r="D169" s="32">
        <f>SUM(D170)</f>
        <v>70.754999999999995</v>
      </c>
      <c r="E169" s="47">
        <f t="shared" ref="E169" si="44">SUM(D169-C169)</f>
        <v>70.754999999999995</v>
      </c>
      <c r="F169" s="67"/>
      <c r="G169" s="33"/>
      <c r="H169" s="47"/>
      <c r="I169" s="47"/>
      <c r="J169" s="67"/>
    </row>
    <row r="170" spans="1:10" ht="37.5" x14ac:dyDescent="0.2">
      <c r="A170" s="30" t="s">
        <v>387</v>
      </c>
      <c r="B170" s="35" t="s">
        <v>389</v>
      </c>
      <c r="C170" s="33"/>
      <c r="D170" s="105">
        <f>14.398+56.357</f>
        <v>70.754999999999995</v>
      </c>
      <c r="E170" s="47">
        <f t="shared" ref="E170" si="45">SUM(D170-C170)</f>
        <v>70.754999999999995</v>
      </c>
      <c r="F170" s="67"/>
      <c r="G170" s="33"/>
      <c r="H170" s="47"/>
      <c r="I170" s="47"/>
      <c r="J170" s="67"/>
    </row>
    <row r="171" spans="1:10" x14ac:dyDescent="0.2">
      <c r="A171" s="30" t="s">
        <v>98</v>
      </c>
      <c r="B171" s="35" t="s">
        <v>51</v>
      </c>
      <c r="C171" s="33">
        <f>C172+C174</f>
        <v>2671.203</v>
      </c>
      <c r="D171" s="33">
        <f>D172+D174+D173</f>
        <v>3293.4849999999997</v>
      </c>
      <c r="E171" s="47">
        <f t="shared" ref="E171:E172" si="46">SUM(D171-C171)</f>
        <v>622.2819999999997</v>
      </c>
      <c r="F171" s="67">
        <f t="shared" ref="F171:F172" si="47">SUM(D171/C171*100)</f>
        <v>123.29594568439761</v>
      </c>
      <c r="G171" s="33">
        <f>G172+G174</f>
        <v>197.565</v>
      </c>
      <c r="H171" s="33">
        <f>H172+H174</f>
        <v>214.08600000000001</v>
      </c>
      <c r="I171" s="47">
        <f>SUM(H171-G171)</f>
        <v>16.521000000000015</v>
      </c>
      <c r="J171" s="67">
        <f>SUM(H171/G171*100)</f>
        <v>108.36231113810646</v>
      </c>
    </row>
    <row r="172" spans="1:10" x14ac:dyDescent="0.2">
      <c r="A172" s="30" t="s">
        <v>99</v>
      </c>
      <c r="B172" s="35" t="s">
        <v>183</v>
      </c>
      <c r="C172" s="33">
        <v>1751.713</v>
      </c>
      <c r="D172" s="32">
        <v>1782.2650000000001</v>
      </c>
      <c r="E172" s="47">
        <f t="shared" si="46"/>
        <v>30.552000000000135</v>
      </c>
      <c r="F172" s="67">
        <f t="shared" si="47"/>
        <v>101.74412132581081</v>
      </c>
      <c r="G172" s="33"/>
      <c r="H172" s="47"/>
      <c r="I172" s="47"/>
      <c r="J172" s="67"/>
    </row>
    <row r="173" spans="1:10" x14ac:dyDescent="0.2">
      <c r="A173" s="30" t="s">
        <v>396</v>
      </c>
      <c r="B173" s="35" t="s">
        <v>397</v>
      </c>
      <c r="C173" s="33"/>
      <c r="D173" s="32">
        <v>69.2</v>
      </c>
      <c r="E173" s="47">
        <f>SUM(D173-C173)</f>
        <v>69.2</v>
      </c>
      <c r="F173" s="67"/>
      <c r="G173" s="33"/>
      <c r="H173" s="47"/>
      <c r="I173" s="47"/>
      <c r="J173" s="67"/>
    </row>
    <row r="174" spans="1:10" ht="37.5" x14ac:dyDescent="0.2">
      <c r="A174" s="30" t="s">
        <v>268</v>
      </c>
      <c r="B174" s="35" t="s">
        <v>269</v>
      </c>
      <c r="C174" s="33">
        <v>919.49</v>
      </c>
      <c r="D174" s="33">
        <f>1442.02</f>
        <v>1442.02</v>
      </c>
      <c r="E174" s="47">
        <f t="shared" ref="E174" si="48">SUM(D174-C174)</f>
        <v>522.53</v>
      </c>
      <c r="F174" s="67" t="s">
        <v>426</v>
      </c>
      <c r="G174" s="33">
        <v>197.565</v>
      </c>
      <c r="H174" s="47">
        <v>214.08600000000001</v>
      </c>
      <c r="I174" s="47">
        <f>SUM(H174-G174)</f>
        <v>16.521000000000015</v>
      </c>
      <c r="J174" s="67">
        <f>SUM(H174/G174*100)</f>
        <v>108.36231113810646</v>
      </c>
    </row>
    <row r="175" spans="1:10" ht="37.5" x14ac:dyDescent="0.2">
      <c r="A175" s="30" t="s">
        <v>390</v>
      </c>
      <c r="B175" s="35" t="s">
        <v>393</v>
      </c>
      <c r="C175" s="33">
        <f>C176</f>
        <v>12.772</v>
      </c>
      <c r="D175" s="33">
        <f>D176</f>
        <v>29.391999999999999</v>
      </c>
      <c r="E175" s="47">
        <f>SUM(D175-C175)</f>
        <v>16.619999999999997</v>
      </c>
      <c r="F175" s="67" t="s">
        <v>450</v>
      </c>
      <c r="G175" s="33"/>
      <c r="H175" s="47"/>
      <c r="I175" s="47"/>
      <c r="J175" s="67"/>
    </row>
    <row r="176" spans="1:10" ht="37.5" x14ac:dyDescent="0.2">
      <c r="A176" s="30" t="s">
        <v>391</v>
      </c>
      <c r="B176" s="35" t="s">
        <v>395</v>
      </c>
      <c r="C176" s="33">
        <v>12.772</v>
      </c>
      <c r="D176" s="33">
        <v>29.391999999999999</v>
      </c>
      <c r="E176" s="47">
        <f>SUM(D176-C176)</f>
        <v>16.619999999999997</v>
      </c>
      <c r="F176" s="67" t="s">
        <v>450</v>
      </c>
      <c r="G176" s="33"/>
      <c r="H176" s="47"/>
      <c r="I176" s="47"/>
      <c r="J176" s="67"/>
    </row>
    <row r="177" spans="1:10" ht="56.25" x14ac:dyDescent="0.2">
      <c r="A177" s="30" t="s">
        <v>392</v>
      </c>
      <c r="B177" s="35" t="s">
        <v>394</v>
      </c>
      <c r="C177" s="33">
        <v>790.65</v>
      </c>
      <c r="D177" s="33">
        <v>4810.68</v>
      </c>
      <c r="E177" s="47">
        <f>SUM(D177-C177)</f>
        <v>4020.03</v>
      </c>
      <c r="F177" s="67" t="s">
        <v>451</v>
      </c>
      <c r="G177" s="33"/>
      <c r="H177" s="47"/>
      <c r="I177" s="47"/>
      <c r="J177" s="67"/>
    </row>
    <row r="178" spans="1:10" ht="56.25" x14ac:dyDescent="0.2">
      <c r="A178" s="51" t="s">
        <v>86</v>
      </c>
      <c r="B178" s="39" t="s">
        <v>157</v>
      </c>
      <c r="C178" s="33">
        <v>6268.2650000000003</v>
      </c>
      <c r="D178" s="33">
        <v>6252.7389999999996</v>
      </c>
      <c r="E178" s="47">
        <f t="shared" si="39"/>
        <v>-15.526000000000749</v>
      </c>
      <c r="F178" s="67">
        <f t="shared" si="40"/>
        <v>99.752307855523</v>
      </c>
      <c r="G178" s="33"/>
      <c r="H178" s="33"/>
      <c r="I178" s="47"/>
      <c r="J178" s="76"/>
    </row>
    <row r="179" spans="1:10" x14ac:dyDescent="0.2">
      <c r="A179" s="52" t="s">
        <v>100</v>
      </c>
      <c r="B179" s="35" t="s">
        <v>158</v>
      </c>
      <c r="C179" s="33">
        <f>C180</f>
        <v>127.361</v>
      </c>
      <c r="D179" s="33">
        <f>D180</f>
        <v>126.53400000000001</v>
      </c>
      <c r="E179" s="47">
        <f t="shared" si="39"/>
        <v>-0.82699999999999818</v>
      </c>
      <c r="F179" s="67">
        <f t="shared" si="40"/>
        <v>99.350664646163267</v>
      </c>
      <c r="G179" s="33"/>
      <c r="H179" s="33"/>
      <c r="I179" s="47"/>
      <c r="J179" s="76"/>
    </row>
    <row r="180" spans="1:10" ht="37.5" x14ac:dyDescent="0.2">
      <c r="A180" s="52" t="s">
        <v>101</v>
      </c>
      <c r="B180" s="35" t="s">
        <v>168</v>
      </c>
      <c r="C180" s="33">
        <v>127.361</v>
      </c>
      <c r="D180" s="33">
        <v>126.53400000000001</v>
      </c>
      <c r="E180" s="47">
        <f t="shared" si="39"/>
        <v>-0.82699999999999818</v>
      </c>
      <c r="F180" s="67">
        <f t="shared" si="40"/>
        <v>99.350664646163267</v>
      </c>
      <c r="G180" s="33"/>
      <c r="H180" s="33"/>
      <c r="I180" s="47"/>
      <c r="J180" s="76"/>
    </row>
    <row r="181" spans="1:10" x14ac:dyDescent="0.2">
      <c r="A181" s="52" t="s">
        <v>47</v>
      </c>
      <c r="B181" s="35" t="s">
        <v>52</v>
      </c>
      <c r="C181" s="33">
        <f>C182+C183</f>
        <v>9514.6309999999994</v>
      </c>
      <c r="D181" s="33">
        <f>D182+D183+D184</f>
        <v>15790.128999999999</v>
      </c>
      <c r="E181" s="47">
        <f t="shared" si="39"/>
        <v>6275.4979999999996</v>
      </c>
      <c r="F181" s="67" t="s">
        <v>420</v>
      </c>
      <c r="G181" s="33"/>
      <c r="H181" s="33"/>
      <c r="I181" s="33"/>
      <c r="J181" s="76"/>
    </row>
    <row r="182" spans="1:10" x14ac:dyDescent="0.2">
      <c r="A182" s="51" t="s">
        <v>102</v>
      </c>
      <c r="B182" s="35" t="s">
        <v>287</v>
      </c>
      <c r="C182" s="33">
        <f>667.413+8118.231</f>
        <v>8785.6440000000002</v>
      </c>
      <c r="D182" s="33">
        <f>13133.9+1252.954</f>
        <v>14386.853999999999</v>
      </c>
      <c r="E182" s="47">
        <f t="shared" si="39"/>
        <v>5601.2099999999991</v>
      </c>
      <c r="F182" s="67" t="s">
        <v>426</v>
      </c>
      <c r="G182" s="33"/>
      <c r="H182" s="33"/>
      <c r="I182" s="47"/>
      <c r="J182" s="76"/>
    </row>
    <row r="183" spans="1:10" ht="37.5" x14ac:dyDescent="0.2">
      <c r="A183" s="51" t="s">
        <v>103</v>
      </c>
      <c r="B183" s="39" t="s">
        <v>286</v>
      </c>
      <c r="C183" s="33">
        <v>728.98699999999997</v>
      </c>
      <c r="D183" s="33">
        <v>787.19600000000003</v>
      </c>
      <c r="E183" s="47">
        <f t="shared" si="39"/>
        <v>58.20900000000006</v>
      </c>
      <c r="F183" s="67">
        <f t="shared" si="40"/>
        <v>107.98491605474447</v>
      </c>
      <c r="G183" s="33"/>
      <c r="H183" s="33"/>
      <c r="I183" s="47"/>
      <c r="J183" s="76"/>
    </row>
    <row r="184" spans="1:10" ht="56.25" x14ac:dyDescent="0.2">
      <c r="A184" s="51" t="s">
        <v>367</v>
      </c>
      <c r="B184" s="45" t="s">
        <v>368</v>
      </c>
      <c r="C184" s="33"/>
      <c r="D184" s="33">
        <v>616.07899999999995</v>
      </c>
      <c r="E184" s="47">
        <f t="shared" ref="E184" si="49">SUM(D184-C184)</f>
        <v>616.07899999999995</v>
      </c>
      <c r="F184" s="67"/>
      <c r="G184" s="33"/>
      <c r="H184" s="33"/>
      <c r="I184" s="47"/>
      <c r="J184" s="76"/>
    </row>
    <row r="185" spans="1:10" x14ac:dyDescent="0.2">
      <c r="A185" s="51" t="s">
        <v>104</v>
      </c>
      <c r="B185" s="39" t="s">
        <v>181</v>
      </c>
      <c r="C185" s="33"/>
      <c r="D185" s="33"/>
      <c r="E185" s="47"/>
      <c r="F185" s="67"/>
      <c r="G185" s="33">
        <v>1044.6669999999999</v>
      </c>
      <c r="H185" s="33">
        <v>899.15300000000002</v>
      </c>
      <c r="I185" s="47">
        <f>SUM(H185-G185)</f>
        <v>-145.5139999999999</v>
      </c>
      <c r="J185" s="67">
        <f>SUM(H185/G185*100)</f>
        <v>86.070776620683915</v>
      </c>
    </row>
    <row r="186" spans="1:10" x14ac:dyDescent="0.2">
      <c r="A186" s="51" t="s">
        <v>48</v>
      </c>
      <c r="B186" s="31" t="s">
        <v>160</v>
      </c>
      <c r="C186" s="33">
        <f>C187+C188</f>
        <v>12207.565000000001</v>
      </c>
      <c r="D186" s="33">
        <f>D187+D188</f>
        <v>17722.268</v>
      </c>
      <c r="E186" s="47">
        <f t="shared" si="39"/>
        <v>5514.7029999999995</v>
      </c>
      <c r="F186" s="67">
        <f t="shared" si="40"/>
        <v>145.17447173125845</v>
      </c>
      <c r="G186" s="33">
        <f>G187+G188+G189</f>
        <v>1143.25</v>
      </c>
      <c r="H186" s="33">
        <f>H187+H188+H189</f>
        <v>9890.2790000000005</v>
      </c>
      <c r="I186" s="47">
        <f>SUM(H186-G186)</f>
        <v>8747.0290000000005</v>
      </c>
      <c r="J186" s="67" t="s">
        <v>452</v>
      </c>
    </row>
    <row r="187" spans="1:10" x14ac:dyDescent="0.2">
      <c r="A187" s="51" t="s">
        <v>105</v>
      </c>
      <c r="B187" s="31" t="s">
        <v>161</v>
      </c>
      <c r="C187" s="33">
        <f>2128.404+6134.303</f>
        <v>8262.7070000000003</v>
      </c>
      <c r="D187" s="32">
        <f>2687.611+6993.208</f>
        <v>9680.8189999999995</v>
      </c>
      <c r="E187" s="47">
        <f t="shared" si="39"/>
        <v>1418.1119999999992</v>
      </c>
      <c r="F187" s="67">
        <f t="shared" si="40"/>
        <v>117.16280148866467</v>
      </c>
      <c r="G187" s="33">
        <f>1143.25</f>
        <v>1143.25</v>
      </c>
      <c r="H187" s="47">
        <v>1400.279</v>
      </c>
      <c r="I187" s="47">
        <f>SUM(H187-G187)</f>
        <v>257.029</v>
      </c>
      <c r="J187" s="67">
        <f>SUM(H187/G187*100)</f>
        <v>122.48230920621037</v>
      </c>
    </row>
    <row r="188" spans="1:10" x14ac:dyDescent="0.2">
      <c r="A188" s="51" t="s">
        <v>106</v>
      </c>
      <c r="B188" s="31" t="s">
        <v>162</v>
      </c>
      <c r="C188" s="33">
        <v>3944.8580000000002</v>
      </c>
      <c r="D188" s="32">
        <f>7162.163+432.25+447.036</f>
        <v>8041.4489999999996</v>
      </c>
      <c r="E188" s="47">
        <f t="shared" ref="E188" si="50">SUM(D188-C188)</f>
        <v>4096.5909999999994</v>
      </c>
      <c r="F188" s="67" t="s">
        <v>339</v>
      </c>
      <c r="G188" s="33"/>
      <c r="H188" s="33"/>
      <c r="I188" s="47"/>
      <c r="J188" s="67"/>
    </row>
    <row r="189" spans="1:10" ht="37.5" x14ac:dyDescent="0.2">
      <c r="A189" s="51" t="s">
        <v>413</v>
      </c>
      <c r="B189" s="123" t="s">
        <v>416</v>
      </c>
      <c r="C189" s="33"/>
      <c r="D189" s="32"/>
      <c r="E189" s="47"/>
      <c r="F189" s="67"/>
      <c r="G189" s="33"/>
      <c r="H189" s="33">
        <v>8490</v>
      </c>
      <c r="I189" s="47">
        <f t="shared" ref="I189:I194" si="51">SUM(H189-G189)</f>
        <v>8490</v>
      </c>
      <c r="J189" s="67"/>
    </row>
    <row r="190" spans="1:10" ht="20.25" x14ac:dyDescent="0.2">
      <c r="A190" s="48" t="s">
        <v>55</v>
      </c>
      <c r="B190" s="28" t="s">
        <v>10</v>
      </c>
      <c r="C190" s="29">
        <f>SUM(C191:C193)</f>
        <v>62301.425000000003</v>
      </c>
      <c r="D190" s="29">
        <f>SUM(D191:D193)</f>
        <v>70779.133000000002</v>
      </c>
      <c r="E190" s="29">
        <f t="shared" ref="E190:E195" si="52">SUM(D190-C190)</f>
        <v>8477.7079999999987</v>
      </c>
      <c r="F190" s="68">
        <f t="shared" ref="F190:F194" si="53">SUM(D190/C190*100)</f>
        <v>113.6075667611134</v>
      </c>
      <c r="G190" s="29">
        <f>SUM(G191:G193)</f>
        <v>1128.5840000000001</v>
      </c>
      <c r="H190" s="29">
        <f>SUM(H191:H193)+H196</f>
        <v>2138.2629999999999</v>
      </c>
      <c r="I190" s="29">
        <f t="shared" si="51"/>
        <v>1009.6789999999999</v>
      </c>
      <c r="J190" s="68" t="s">
        <v>369</v>
      </c>
    </row>
    <row r="191" spans="1:10" x14ac:dyDescent="0.3">
      <c r="A191" s="30" t="s">
        <v>107</v>
      </c>
      <c r="B191" s="49" t="s">
        <v>120</v>
      </c>
      <c r="C191" s="32">
        <v>20331.651000000002</v>
      </c>
      <c r="D191" s="32">
        <v>21413.455000000002</v>
      </c>
      <c r="E191" s="47">
        <f t="shared" si="52"/>
        <v>1081.8040000000001</v>
      </c>
      <c r="F191" s="67">
        <f t="shared" si="53"/>
        <v>105.3207877707521</v>
      </c>
      <c r="G191" s="47">
        <v>824.27099999999996</v>
      </c>
      <c r="H191" s="47">
        <v>1010.8390000000001</v>
      </c>
      <c r="I191" s="47">
        <f t="shared" si="51"/>
        <v>186.5680000000001</v>
      </c>
      <c r="J191" s="67">
        <f>SUM(H191/G191*100)</f>
        <v>122.6343035239624</v>
      </c>
    </row>
    <row r="192" spans="1:10" ht="37.5" x14ac:dyDescent="0.2">
      <c r="A192" s="30" t="s">
        <v>56</v>
      </c>
      <c r="B192" s="31" t="s">
        <v>165</v>
      </c>
      <c r="C192" s="32">
        <v>15900.276</v>
      </c>
      <c r="D192" s="32">
        <v>16690.672999999999</v>
      </c>
      <c r="E192" s="47">
        <f t="shared" si="52"/>
        <v>790.39699999999903</v>
      </c>
      <c r="F192" s="67">
        <f t="shared" si="53"/>
        <v>104.97096402603326</v>
      </c>
      <c r="G192" s="47">
        <v>188.40100000000001</v>
      </c>
      <c r="H192" s="47">
        <v>703.66899999999998</v>
      </c>
      <c r="I192" s="47">
        <f t="shared" si="51"/>
        <v>515.26800000000003</v>
      </c>
      <c r="J192" s="67" t="s">
        <v>453</v>
      </c>
    </row>
    <row r="193" spans="1:10" x14ac:dyDescent="0.3">
      <c r="A193" s="30" t="s">
        <v>108</v>
      </c>
      <c r="B193" s="49" t="s">
        <v>121</v>
      </c>
      <c r="C193" s="33">
        <f>SUM(C194:C195)</f>
        <v>26069.498</v>
      </c>
      <c r="D193" s="33">
        <f>SUM(D194:D195)</f>
        <v>32675.004999999997</v>
      </c>
      <c r="E193" s="47">
        <f t="shared" si="52"/>
        <v>6605.5069999999978</v>
      </c>
      <c r="F193" s="67">
        <f t="shared" si="53"/>
        <v>125.33806749942021</v>
      </c>
      <c r="G193" s="33">
        <f>SUM(G194:G195)</f>
        <v>115.91200000000001</v>
      </c>
      <c r="H193" s="33">
        <f>SUM(H194:H195)</f>
        <v>388.84399999999999</v>
      </c>
      <c r="I193" s="47">
        <f t="shared" si="51"/>
        <v>272.93200000000002</v>
      </c>
      <c r="J193" s="67" t="s">
        <v>427</v>
      </c>
    </row>
    <row r="194" spans="1:10" x14ac:dyDescent="0.3">
      <c r="A194" s="30" t="s">
        <v>109</v>
      </c>
      <c r="B194" s="49" t="s">
        <v>122</v>
      </c>
      <c r="C194" s="32">
        <v>25694.157999999999</v>
      </c>
      <c r="D194" s="32">
        <v>31915.37</v>
      </c>
      <c r="E194" s="47">
        <f t="shared" si="52"/>
        <v>6221.2119999999995</v>
      </c>
      <c r="F194" s="67">
        <f t="shared" si="53"/>
        <v>124.21255446471528</v>
      </c>
      <c r="G194" s="47">
        <v>115.91200000000001</v>
      </c>
      <c r="H194" s="47">
        <v>388.84399999999999</v>
      </c>
      <c r="I194" s="47">
        <f t="shared" si="51"/>
        <v>272.93200000000002</v>
      </c>
      <c r="J194" s="67" t="s">
        <v>427</v>
      </c>
    </row>
    <row r="195" spans="1:10" x14ac:dyDescent="0.3">
      <c r="A195" s="30" t="s">
        <v>110</v>
      </c>
      <c r="B195" s="49" t="s">
        <v>123</v>
      </c>
      <c r="C195" s="32">
        <v>375.34</v>
      </c>
      <c r="D195" s="32">
        <v>759.63499999999999</v>
      </c>
      <c r="E195" s="47">
        <f t="shared" si="52"/>
        <v>384.29500000000002</v>
      </c>
      <c r="F195" s="67" t="s">
        <v>339</v>
      </c>
      <c r="G195" s="33"/>
      <c r="H195" s="33"/>
      <c r="I195" s="47"/>
      <c r="J195" s="67"/>
    </row>
    <row r="196" spans="1:10" x14ac:dyDescent="0.3">
      <c r="A196" s="30" t="s">
        <v>398</v>
      </c>
      <c r="B196" s="49" t="s">
        <v>399</v>
      </c>
      <c r="C196" s="32"/>
      <c r="D196" s="32"/>
      <c r="E196" s="47"/>
      <c r="F196" s="67"/>
      <c r="G196" s="33"/>
      <c r="H196" s="33">
        <v>34.911000000000001</v>
      </c>
      <c r="I196" s="47">
        <f>SUM(H196-G196)</f>
        <v>34.911000000000001</v>
      </c>
      <c r="J196" s="67"/>
    </row>
    <row r="197" spans="1:10" ht="20.25" x14ac:dyDescent="0.2">
      <c r="A197" s="48" t="s">
        <v>57</v>
      </c>
      <c r="B197" s="77" t="s">
        <v>11</v>
      </c>
      <c r="C197" s="29">
        <f>SUM(C198+C201+C204+C207)</f>
        <v>82086.49437</v>
      </c>
      <c r="D197" s="29">
        <f>SUM(D198+D201+D204+D207)</f>
        <v>84107.224549999999</v>
      </c>
      <c r="E197" s="29">
        <f t="shared" ref="E197:E208" si="54">SUM(D197-C197)</f>
        <v>2020.7301799999987</v>
      </c>
      <c r="F197" s="68">
        <f t="shared" ref="F197:F209" si="55">SUM(D197/C197*100)</f>
        <v>102.46170846435673</v>
      </c>
      <c r="G197" s="29">
        <f>SUM(G198+G201+G204+G207+G210)</f>
        <v>2964.3038099999999</v>
      </c>
      <c r="H197" s="29">
        <f>SUM(H198+H201+H204+H207)</f>
        <v>5229.5908300000001</v>
      </c>
      <c r="I197" s="29">
        <f>SUM(H197-G197)</f>
        <v>2265.2870200000002</v>
      </c>
      <c r="J197" s="68" t="s">
        <v>340</v>
      </c>
    </row>
    <row r="198" spans="1:10" x14ac:dyDescent="0.3">
      <c r="A198" s="51" t="s">
        <v>59</v>
      </c>
      <c r="B198" s="49" t="s">
        <v>58</v>
      </c>
      <c r="C198" s="47">
        <f>C199+C200</f>
        <v>749.86875000000009</v>
      </c>
      <c r="D198" s="47">
        <f>D199+D200</f>
        <v>1694.86168</v>
      </c>
      <c r="E198" s="47">
        <f>SUM(D198-C198)</f>
        <v>944.99292999999989</v>
      </c>
      <c r="F198" s="67" t="s">
        <v>454</v>
      </c>
      <c r="G198" s="47"/>
      <c r="H198" s="47"/>
      <c r="I198" s="47"/>
      <c r="J198" s="76"/>
    </row>
    <row r="199" spans="1:10" x14ac:dyDescent="0.3">
      <c r="A199" s="30" t="s">
        <v>60</v>
      </c>
      <c r="B199" s="49" t="s">
        <v>70</v>
      </c>
      <c r="C199" s="33">
        <v>683.55803000000003</v>
      </c>
      <c r="D199" s="33">
        <v>1176.7183500000001</v>
      </c>
      <c r="E199" s="47">
        <f>SUM(D199-C199)</f>
        <v>493.16032000000007</v>
      </c>
      <c r="F199" s="67" t="s">
        <v>420</v>
      </c>
      <c r="G199" s="33"/>
      <c r="H199" s="33"/>
      <c r="I199" s="47"/>
      <c r="J199" s="76"/>
    </row>
    <row r="200" spans="1:10" x14ac:dyDescent="0.3">
      <c r="A200" s="30" t="s">
        <v>61</v>
      </c>
      <c r="B200" s="49" t="s">
        <v>71</v>
      </c>
      <c r="C200" s="33">
        <v>66.310720000000003</v>
      </c>
      <c r="D200" s="33">
        <v>518.14332999999999</v>
      </c>
      <c r="E200" s="47">
        <f>SUM(D200-C200)</f>
        <v>451.83260999999999</v>
      </c>
      <c r="F200" s="67" t="s">
        <v>455</v>
      </c>
      <c r="G200" s="33"/>
      <c r="H200" s="33"/>
      <c r="I200" s="47"/>
      <c r="J200" s="76"/>
    </row>
    <row r="201" spans="1:10" x14ac:dyDescent="0.2">
      <c r="A201" s="36" t="s">
        <v>62</v>
      </c>
      <c r="B201" s="74" t="s">
        <v>72</v>
      </c>
      <c r="C201" s="33">
        <f>C202+C203</f>
        <v>64450.817219999997</v>
      </c>
      <c r="D201" s="33">
        <f>D202+D203</f>
        <v>65158.058010000001</v>
      </c>
      <c r="E201" s="47">
        <f>SUM(D201-C201)</f>
        <v>707.24079000000347</v>
      </c>
      <c r="F201" s="67">
        <f t="shared" si="55"/>
        <v>101.09733409211223</v>
      </c>
      <c r="G201" s="33">
        <f>G202+G203</f>
        <v>1169.16966</v>
      </c>
      <c r="H201" s="33">
        <f>H202+H203</f>
        <v>1933.0539600000002</v>
      </c>
      <c r="I201" s="47">
        <f>SUM(H201-G201)</f>
        <v>763.88430000000017</v>
      </c>
      <c r="J201" s="67" t="s">
        <v>420</v>
      </c>
    </row>
    <row r="202" spans="1:10" x14ac:dyDescent="0.2">
      <c r="A202" s="36" t="s">
        <v>63</v>
      </c>
      <c r="B202" s="74" t="s">
        <v>73</v>
      </c>
      <c r="C202" s="33">
        <v>58905.620060000001</v>
      </c>
      <c r="D202" s="33">
        <v>58979.917500000003</v>
      </c>
      <c r="E202" s="47">
        <f t="shared" si="54"/>
        <v>74.297440000002098</v>
      </c>
      <c r="F202" s="67">
        <f t="shared" si="55"/>
        <v>100.12612962892899</v>
      </c>
      <c r="G202" s="33">
        <v>771.53444000000002</v>
      </c>
      <c r="H202" s="33">
        <v>1920.7209600000001</v>
      </c>
      <c r="I202" s="47">
        <f>SUM(H202-G202)</f>
        <v>1149.1865200000002</v>
      </c>
      <c r="J202" s="67" t="s">
        <v>412</v>
      </c>
    </row>
    <row r="203" spans="1:10" x14ac:dyDescent="0.2">
      <c r="A203" s="36" t="s">
        <v>64</v>
      </c>
      <c r="B203" s="74" t="s">
        <v>74</v>
      </c>
      <c r="C203" s="33">
        <v>5545.1971599999997</v>
      </c>
      <c r="D203" s="33">
        <v>6178.1405100000002</v>
      </c>
      <c r="E203" s="47">
        <f t="shared" si="54"/>
        <v>632.94335000000046</v>
      </c>
      <c r="F203" s="67">
        <f t="shared" si="55"/>
        <v>111.41426231993528</v>
      </c>
      <c r="G203" s="75">
        <v>397.63522</v>
      </c>
      <c r="H203" s="47">
        <v>12.333</v>
      </c>
      <c r="I203" s="47"/>
      <c r="J203" s="67">
        <f t="shared" ref="J203" si="56">SUM(H203/G203*100)</f>
        <v>3.1015864238585307</v>
      </c>
    </row>
    <row r="204" spans="1:10" x14ac:dyDescent="0.2">
      <c r="A204" s="36" t="s">
        <v>65</v>
      </c>
      <c r="B204" s="74" t="s">
        <v>75</v>
      </c>
      <c r="C204" s="47">
        <f>C205+C206</f>
        <v>10897.23264</v>
      </c>
      <c r="D204" s="47">
        <f>D205</f>
        <v>9437.7301200000002</v>
      </c>
      <c r="E204" s="47">
        <f t="shared" si="54"/>
        <v>-1459.50252</v>
      </c>
      <c r="F204" s="67">
        <f t="shared" si="55"/>
        <v>86.60666824123156</v>
      </c>
      <c r="G204" s="47">
        <f>G205</f>
        <v>1326.384</v>
      </c>
      <c r="H204" s="47">
        <f>H205</f>
        <v>3296.5368699999999</v>
      </c>
      <c r="I204" s="47">
        <f>SUM(H204-G204)</f>
        <v>1970.1528699999999</v>
      </c>
      <c r="J204" s="67" t="s">
        <v>412</v>
      </c>
    </row>
    <row r="205" spans="1:10" x14ac:dyDescent="0.2">
      <c r="A205" s="156" t="s">
        <v>66</v>
      </c>
      <c r="B205" s="157" t="s">
        <v>76</v>
      </c>
      <c r="C205" s="73">
        <v>10876.44364</v>
      </c>
      <c r="D205" s="73">
        <v>9437.7301200000002</v>
      </c>
      <c r="E205" s="158">
        <f t="shared" si="54"/>
        <v>-1438.7135199999993</v>
      </c>
      <c r="F205" s="159">
        <f t="shared" si="55"/>
        <v>86.77220636064456</v>
      </c>
      <c r="G205" s="160">
        <f>1307.91+18.474</f>
        <v>1326.384</v>
      </c>
      <c r="H205" s="160">
        <v>3296.5368699999999</v>
      </c>
      <c r="I205" s="158">
        <f>SUM(H205-G205)</f>
        <v>1970.1528699999999</v>
      </c>
      <c r="J205" s="159" t="s">
        <v>412</v>
      </c>
    </row>
    <row r="206" spans="1:10" x14ac:dyDescent="0.3">
      <c r="A206" s="36" t="s">
        <v>430</v>
      </c>
      <c r="B206" s="161" t="s">
        <v>434</v>
      </c>
      <c r="C206" s="33">
        <v>20.789000000000001</v>
      </c>
      <c r="D206" s="33"/>
      <c r="E206" s="47"/>
      <c r="F206" s="67"/>
      <c r="G206" s="162"/>
      <c r="H206" s="162"/>
      <c r="I206" s="47"/>
      <c r="J206" s="67"/>
    </row>
    <row r="207" spans="1:10" x14ac:dyDescent="0.2">
      <c r="A207" s="36" t="s">
        <v>67</v>
      </c>
      <c r="B207" s="74" t="s">
        <v>77</v>
      </c>
      <c r="C207" s="33">
        <f>C208+C209</f>
        <v>5988.5757599999997</v>
      </c>
      <c r="D207" s="33">
        <f>D208+D209</f>
        <v>7816.57474</v>
      </c>
      <c r="E207" s="47">
        <f>SUM(D207-C207)</f>
        <v>1827.9989800000003</v>
      </c>
      <c r="F207" s="67">
        <f t="shared" si="55"/>
        <v>130.52477004983237</v>
      </c>
      <c r="G207" s="33">
        <f>G208+G209</f>
        <v>82.992149999999995</v>
      </c>
      <c r="H207" s="33"/>
      <c r="I207" s="47">
        <f>SUM(H207-G207)</f>
        <v>-82.992149999999995</v>
      </c>
      <c r="J207" s="67"/>
    </row>
    <row r="208" spans="1:10" ht="37.5" x14ac:dyDescent="0.2">
      <c r="A208" s="36" t="s">
        <v>68</v>
      </c>
      <c r="B208" s="74" t="s">
        <v>78</v>
      </c>
      <c r="C208" s="33">
        <v>3341.9801200000002</v>
      </c>
      <c r="D208" s="33">
        <v>4940.1613699999998</v>
      </c>
      <c r="E208" s="47">
        <f t="shared" si="54"/>
        <v>1598.1812499999996</v>
      </c>
      <c r="F208" s="67">
        <f t="shared" si="55"/>
        <v>147.8213871002919</v>
      </c>
      <c r="G208" s="33"/>
      <c r="H208" s="33"/>
      <c r="I208" s="47"/>
      <c r="J208" s="76"/>
    </row>
    <row r="209" spans="1:10" x14ac:dyDescent="0.2">
      <c r="A209" s="36" t="s">
        <v>69</v>
      </c>
      <c r="B209" s="74" t="s">
        <v>79</v>
      </c>
      <c r="C209" s="33">
        <v>2646.59564</v>
      </c>
      <c r="D209" s="47">
        <v>2876.4133700000002</v>
      </c>
      <c r="E209" s="47">
        <f>SUM(D209-C209)</f>
        <v>229.81773000000021</v>
      </c>
      <c r="F209" s="67">
        <f t="shared" si="55"/>
        <v>108.68352257997374</v>
      </c>
      <c r="G209" s="33">
        <v>82.992149999999995</v>
      </c>
      <c r="H209" s="47"/>
      <c r="I209" s="63">
        <f>SUM(H209-G209)</f>
        <v>-82.992149999999995</v>
      </c>
      <c r="J209" s="65">
        <f>SUM(H209/G209*100)</f>
        <v>0</v>
      </c>
    </row>
    <row r="210" spans="1:10" x14ac:dyDescent="0.3">
      <c r="A210" s="36" t="s">
        <v>377</v>
      </c>
      <c r="B210" s="124" t="s">
        <v>379</v>
      </c>
      <c r="C210" s="33"/>
      <c r="D210" s="33"/>
      <c r="E210" s="47"/>
      <c r="F210" s="67"/>
      <c r="G210" s="33">
        <v>385.75799999999998</v>
      </c>
      <c r="H210" s="47"/>
      <c r="I210" s="63">
        <f>SUM(H210-G210)</f>
        <v>-385.75799999999998</v>
      </c>
      <c r="J210" s="65">
        <f>SUM(H210/G210*100)</f>
        <v>0</v>
      </c>
    </row>
    <row r="211" spans="1:10" ht="20.25" x14ac:dyDescent="0.2">
      <c r="A211" s="48" t="s">
        <v>53</v>
      </c>
      <c r="B211" s="28" t="s">
        <v>9</v>
      </c>
      <c r="C211" s="29">
        <f>C212+C216+C217+C218+C219+C220+C223+C225</f>
        <v>216738.90774000002</v>
      </c>
      <c r="D211" s="29">
        <f>D212+D216+D217+D218+D219+D220+D223+D225</f>
        <v>227248.33872999999</v>
      </c>
      <c r="E211" s="29">
        <f>SUM(D211-C211)</f>
        <v>10509.430989999964</v>
      </c>
      <c r="F211" s="68">
        <f>SUM(D211/C211*100)</f>
        <v>104.84888989226017</v>
      </c>
      <c r="G211" s="29">
        <f>G212+G216+G217+G218+G219+G220+G223+G225+G224</f>
        <v>20592.36896</v>
      </c>
      <c r="H211" s="29">
        <f>H212+H216+H217+H218+H219+H220+H223+H225+H224+H226</f>
        <v>48549.40425</v>
      </c>
      <c r="I211" s="29">
        <f>SUM(H211-G211)</f>
        <v>27957.03529</v>
      </c>
      <c r="J211" s="68" t="s">
        <v>447</v>
      </c>
    </row>
    <row r="212" spans="1:10" x14ac:dyDescent="0.2">
      <c r="A212" s="52" t="s">
        <v>54</v>
      </c>
      <c r="B212" s="37" t="s">
        <v>124</v>
      </c>
      <c r="C212" s="47">
        <f>C213+C214+C215</f>
        <v>24048.47724</v>
      </c>
      <c r="D212" s="47">
        <f>D213+D214+D215</f>
        <v>18728.699120000001</v>
      </c>
      <c r="E212" s="47">
        <f>SUM(D212-C212)</f>
        <v>-5319.778119999999</v>
      </c>
      <c r="F212" s="67">
        <f>SUM(D212/C212*100)</f>
        <v>77.878939830952902</v>
      </c>
      <c r="G212" s="47">
        <f>G213+G214+G215</f>
        <v>4629.4821300000003</v>
      </c>
      <c r="H212" s="47">
        <f>H213+H214+H215</f>
        <v>2144.5190000000002</v>
      </c>
      <c r="I212" s="47">
        <f>SUM(H212-G212)</f>
        <v>-2484.9631300000001</v>
      </c>
      <c r="J212" s="67">
        <f>SUM(H212/G212*100)</f>
        <v>46.323086249822076</v>
      </c>
    </row>
    <row r="213" spans="1:10" x14ac:dyDescent="0.2">
      <c r="A213" s="52" t="s">
        <v>111</v>
      </c>
      <c r="B213" s="37" t="s">
        <v>125</v>
      </c>
      <c r="C213" s="47">
        <v>9920.1584299999995</v>
      </c>
      <c r="D213" s="32">
        <v>4224.9292500000001</v>
      </c>
      <c r="E213" s="47">
        <f>SUM(D213-C213)</f>
        <v>-5695.2291799999994</v>
      </c>
      <c r="F213" s="67">
        <f>SUM(D213/C213*100)</f>
        <v>42.589332416538838</v>
      </c>
      <c r="G213" s="47">
        <v>4629.4821300000003</v>
      </c>
      <c r="H213" s="47">
        <f>1929.154+181.545</f>
        <v>2110.6990000000001</v>
      </c>
      <c r="I213" s="47">
        <f>SUM(H213-G213)</f>
        <v>-2518.7831300000003</v>
      </c>
      <c r="J213" s="67">
        <f>SUM(H213/G213*100)</f>
        <v>45.592550975026654</v>
      </c>
    </row>
    <row r="214" spans="1:10" ht="37.5" x14ac:dyDescent="0.2">
      <c r="A214" s="52" t="s">
        <v>112</v>
      </c>
      <c r="B214" s="38" t="s">
        <v>82</v>
      </c>
      <c r="C214" s="47">
        <v>14128.318810000001</v>
      </c>
      <c r="D214" s="33">
        <v>13926.68244</v>
      </c>
      <c r="E214" s="47">
        <f t="shared" ref="E214:E217" si="57">SUM(D214-C214)</f>
        <v>-201.63637000000017</v>
      </c>
      <c r="F214" s="67">
        <f t="shared" ref="F214" si="58">SUM(D214/C214*100)</f>
        <v>98.572821206035627</v>
      </c>
      <c r="G214" s="47"/>
      <c r="H214" s="47"/>
      <c r="I214" s="47"/>
      <c r="J214" s="76"/>
    </row>
    <row r="215" spans="1:10" x14ac:dyDescent="0.3">
      <c r="A215" s="52" t="s">
        <v>364</v>
      </c>
      <c r="B215" s="4" t="s">
        <v>365</v>
      </c>
      <c r="C215" s="47"/>
      <c r="D215" s="33">
        <v>577.08743000000004</v>
      </c>
      <c r="E215" s="47">
        <f t="shared" ref="E215:E216" si="59">SUM(D215-C215)</f>
        <v>577.08743000000004</v>
      </c>
      <c r="F215" s="67"/>
      <c r="G215" s="47"/>
      <c r="H215" s="47">
        <v>33.82</v>
      </c>
      <c r="I215" s="47"/>
      <c r="J215" s="67"/>
    </row>
    <row r="216" spans="1:10" ht="37.5" x14ac:dyDescent="0.2">
      <c r="A216" s="89">
        <v>6020</v>
      </c>
      <c r="B216" s="38" t="s">
        <v>126</v>
      </c>
      <c r="C216" s="33">
        <v>40234.400150000001</v>
      </c>
      <c r="D216" s="33">
        <v>46815.865899999997</v>
      </c>
      <c r="E216" s="47">
        <f t="shared" si="59"/>
        <v>6581.4657499999958</v>
      </c>
      <c r="F216" s="67">
        <f t="shared" ref="F216" si="60">SUM(D216/C216*100)</f>
        <v>116.35780756134871</v>
      </c>
      <c r="G216" s="33"/>
      <c r="H216" s="33"/>
      <c r="I216" s="47"/>
      <c r="J216" s="67"/>
    </row>
    <row r="217" spans="1:10" x14ac:dyDescent="0.2">
      <c r="A217" s="89">
        <v>6030</v>
      </c>
      <c r="B217" s="38" t="s">
        <v>127</v>
      </c>
      <c r="C217" s="33">
        <v>132133.97179000001</v>
      </c>
      <c r="D217" s="33">
        <v>132502.91497000001</v>
      </c>
      <c r="E217" s="47">
        <f t="shared" si="57"/>
        <v>368.94318000000203</v>
      </c>
      <c r="F217" s="67">
        <f>SUM(D217/C217*100)</f>
        <v>100.27921901915305</v>
      </c>
      <c r="G217" s="47">
        <v>1985.2529999999999</v>
      </c>
      <c r="H217" s="47">
        <f>28926.603+56.78+182.139</f>
        <v>29165.521999999997</v>
      </c>
      <c r="I217" s="47">
        <f t="shared" ref="I217" si="61">SUM(H217-G217)</f>
        <v>27180.268999999997</v>
      </c>
      <c r="J217" s="67" t="s">
        <v>456</v>
      </c>
    </row>
    <row r="218" spans="1:10" x14ac:dyDescent="0.2">
      <c r="A218" s="89">
        <v>6040</v>
      </c>
      <c r="B218" s="38" t="s">
        <v>290</v>
      </c>
      <c r="C218" s="33">
        <v>12222.49144</v>
      </c>
      <c r="D218" s="33">
        <v>22847.227439999999</v>
      </c>
      <c r="E218" s="47">
        <f t="shared" ref="E218" si="62">SUM(D218-C218)</f>
        <v>10624.735999999999</v>
      </c>
      <c r="F218" s="67" t="s">
        <v>369</v>
      </c>
      <c r="G218" s="33"/>
      <c r="H218" s="47">
        <v>893.32899999999995</v>
      </c>
      <c r="I218" s="47"/>
      <c r="J218" s="76"/>
    </row>
    <row r="219" spans="1:10" ht="37.5" x14ac:dyDescent="0.2">
      <c r="A219" s="89">
        <v>6050</v>
      </c>
      <c r="B219" s="45" t="s">
        <v>280</v>
      </c>
      <c r="C219" s="33">
        <v>7205.4074799999999</v>
      </c>
      <c r="D219" s="33"/>
      <c r="E219" s="47">
        <f t="shared" ref="E219" si="63">SUM(D219-C219)</f>
        <v>-7205.4074799999999</v>
      </c>
      <c r="F219" s="67">
        <f>SUM(D219/C219*100)</f>
        <v>0</v>
      </c>
      <c r="G219" s="33">
        <v>11163.151830000001</v>
      </c>
      <c r="H219" s="33"/>
      <c r="I219" s="47">
        <f>SUM(H219-G219)</f>
        <v>-11163.151830000001</v>
      </c>
      <c r="J219" s="67">
        <f>SUM(H219/G219*100)</f>
        <v>0</v>
      </c>
    </row>
    <row r="220" spans="1:10" x14ac:dyDescent="0.2">
      <c r="A220" s="89">
        <v>6080</v>
      </c>
      <c r="B220" s="38" t="s">
        <v>130</v>
      </c>
      <c r="C220" s="33">
        <f>C221+C222</f>
        <v>826.2</v>
      </c>
      <c r="D220" s="33">
        <f>D221+D222</f>
        <v>1010.705</v>
      </c>
      <c r="E220" s="47">
        <f t="shared" ref="E220" si="64">SUM(D220-C220)</f>
        <v>184.505</v>
      </c>
      <c r="F220" s="67">
        <f>SUM(D220/C220*100)</f>
        <v>122.3317598644396</v>
      </c>
      <c r="G220" s="33"/>
      <c r="H220" s="33"/>
      <c r="I220" s="47"/>
      <c r="J220" s="67"/>
    </row>
    <row r="221" spans="1:10" ht="37.5" x14ac:dyDescent="0.2">
      <c r="A221" s="89">
        <v>6084</v>
      </c>
      <c r="B221" s="38" t="s">
        <v>128</v>
      </c>
      <c r="C221" s="33">
        <v>826.2</v>
      </c>
      <c r="D221" s="33">
        <v>1010.705</v>
      </c>
      <c r="E221" s="47">
        <f t="shared" ref="E221" si="65">SUM(D221-C221)</f>
        <v>184.505</v>
      </c>
      <c r="F221" s="67">
        <f>SUM(D221/C221*100)</f>
        <v>122.3317598644396</v>
      </c>
      <c r="G221" s="33"/>
      <c r="H221" s="33"/>
      <c r="I221" s="47"/>
      <c r="J221" s="76"/>
    </row>
    <row r="222" spans="1:10" x14ac:dyDescent="0.2">
      <c r="A222" s="89" t="s">
        <v>341</v>
      </c>
      <c r="B222" s="38" t="s">
        <v>172</v>
      </c>
      <c r="C222" s="33"/>
      <c r="D222" s="33"/>
      <c r="E222" s="47"/>
      <c r="F222" s="67"/>
      <c r="G222" s="33"/>
      <c r="H222" s="33"/>
      <c r="I222" s="47"/>
      <c r="J222" s="67"/>
    </row>
    <row r="223" spans="1:10" x14ac:dyDescent="0.2">
      <c r="A223" s="89">
        <v>6090</v>
      </c>
      <c r="B223" s="38" t="s">
        <v>129</v>
      </c>
      <c r="C223" s="33">
        <v>67.959639999999993</v>
      </c>
      <c r="D223" s="33">
        <v>3042.6765500000001</v>
      </c>
      <c r="E223" s="47">
        <f t="shared" ref="E223" si="66">SUM(D223-C223)</f>
        <v>2974.7169100000001</v>
      </c>
      <c r="F223" s="67" t="s">
        <v>457</v>
      </c>
      <c r="G223" s="33"/>
      <c r="H223" s="47"/>
      <c r="I223" s="47"/>
      <c r="J223" s="67"/>
    </row>
    <row r="224" spans="1:10" x14ac:dyDescent="0.3">
      <c r="A224" s="89">
        <v>6091</v>
      </c>
      <c r="B224" s="4" t="s">
        <v>380</v>
      </c>
      <c r="C224" s="33"/>
      <c r="D224" s="33"/>
      <c r="E224" s="47"/>
      <c r="F224" s="67"/>
      <c r="G224" s="63">
        <v>2814.482</v>
      </c>
      <c r="H224" s="47">
        <v>706.31390999999996</v>
      </c>
      <c r="I224" s="63">
        <f>SUM(H224-G224)</f>
        <v>-2108.1680900000001</v>
      </c>
      <c r="J224" s="65">
        <f>SUM(H224/G224*100)</f>
        <v>25.095698249269315</v>
      </c>
    </row>
    <row r="225" spans="1:10" ht="37.5" x14ac:dyDescent="0.2">
      <c r="A225" s="89">
        <v>6092</v>
      </c>
      <c r="B225" s="74" t="s">
        <v>366</v>
      </c>
      <c r="C225" s="33"/>
      <c r="D225" s="33">
        <v>2300.2497499999999</v>
      </c>
      <c r="E225" s="47">
        <f t="shared" ref="E225" si="67">SUM(D225-C225)</f>
        <v>2300.2497499999999</v>
      </c>
      <c r="F225" s="67"/>
      <c r="G225" s="33"/>
      <c r="H225" s="47">
        <v>10575.65134</v>
      </c>
      <c r="I225" s="63">
        <f>SUM(H225-G225)</f>
        <v>10575.65134</v>
      </c>
      <c r="J225" s="65"/>
    </row>
    <row r="226" spans="1:10" ht="56.25" x14ac:dyDescent="0.2">
      <c r="A226" s="89">
        <v>6094</v>
      </c>
      <c r="B226" s="172" t="s">
        <v>439</v>
      </c>
      <c r="C226" s="33"/>
      <c r="D226" s="33"/>
      <c r="E226" s="47"/>
      <c r="F226" s="67"/>
      <c r="G226" s="33"/>
      <c r="H226" s="47">
        <v>5064.0690000000004</v>
      </c>
      <c r="I226" s="63">
        <f>SUM(H226-G226)</f>
        <v>5064.0690000000004</v>
      </c>
      <c r="J226" s="65"/>
    </row>
    <row r="227" spans="1:10" ht="20.25" x14ac:dyDescent="0.2">
      <c r="A227" s="163" t="s">
        <v>271</v>
      </c>
      <c r="B227" s="92" t="s">
        <v>272</v>
      </c>
      <c r="C227" s="93">
        <f>SUM(C228+C232+C239)</f>
        <v>198094.48600000003</v>
      </c>
      <c r="D227" s="93">
        <f>SUM(D228+D232+D239)</f>
        <v>240363.16700000002</v>
      </c>
      <c r="E227" s="29">
        <f>SUM(D227-C227)</f>
        <v>42268.680999999982</v>
      </c>
      <c r="F227" s="68">
        <f t="shared" ref="F227" si="68">SUM(D227/C227*100)</f>
        <v>121.33763632370867</v>
      </c>
      <c r="G227" s="93">
        <f>SUM(G228+G232+G239)</f>
        <v>381076.67799999996</v>
      </c>
      <c r="H227" s="93">
        <f>SUM(H228+H232+H239)</f>
        <v>597424.14300000004</v>
      </c>
      <c r="I227" s="29">
        <f t="shared" ref="I227:I228" si="69">SUM(H227-G227)</f>
        <v>216347.46500000008</v>
      </c>
      <c r="J227" s="68" t="s">
        <v>426</v>
      </c>
    </row>
    <row r="228" spans="1:10" ht="20.25" x14ac:dyDescent="0.3">
      <c r="A228" s="165" t="s">
        <v>80</v>
      </c>
      <c r="B228" s="71" t="s">
        <v>375</v>
      </c>
      <c r="C228" s="164">
        <f>C229+C230</f>
        <v>3</v>
      </c>
      <c r="D228" s="164">
        <f>D229+D230</f>
        <v>3.5739999999999998</v>
      </c>
      <c r="E228" s="164">
        <f t="shared" ref="E228" si="70">SUM(D228-C228)</f>
        <v>0.57399999999999984</v>
      </c>
      <c r="F228" s="166">
        <f t="shared" ref="F228" si="71">SUM(D228/C228*100)</f>
        <v>119.13333333333334</v>
      </c>
      <c r="G228" s="164">
        <f>G229+G230+G231</f>
        <v>157709.68400000001</v>
      </c>
      <c r="H228" s="164">
        <f>H229+H230</f>
        <v>9060.3180000000011</v>
      </c>
      <c r="I228" s="164">
        <f t="shared" si="69"/>
        <v>-148649.36600000001</v>
      </c>
      <c r="J228" s="166">
        <f>SUM(H228/G228*100)</f>
        <v>5.7449344708597607</v>
      </c>
    </row>
    <row r="229" spans="1:10" x14ac:dyDescent="0.3">
      <c r="A229" s="55" t="s">
        <v>295</v>
      </c>
      <c r="B229" s="167" t="s">
        <v>296</v>
      </c>
      <c r="C229" s="69"/>
      <c r="D229" s="69"/>
      <c r="E229" s="63"/>
      <c r="F229" s="70"/>
      <c r="G229" s="61">
        <f>15999.915+55.011</f>
        <v>16054.926000000001</v>
      </c>
      <c r="H229" s="61">
        <f>8303.811+638.227</f>
        <v>8942.0380000000005</v>
      </c>
      <c r="I229" s="63">
        <f>SUM(H229-G229)</f>
        <v>-7112.8880000000008</v>
      </c>
      <c r="J229" s="65">
        <f>SUM(H229/G229*100)</f>
        <v>55.696538246267849</v>
      </c>
    </row>
    <row r="230" spans="1:10" x14ac:dyDescent="0.3">
      <c r="A230" s="55" t="s">
        <v>431</v>
      </c>
      <c r="B230" s="161" t="s">
        <v>435</v>
      </c>
      <c r="C230" s="69">
        <v>3</v>
      </c>
      <c r="D230" s="69">
        <v>3.5739999999999998</v>
      </c>
      <c r="E230" s="63">
        <f t="shared" ref="E230" si="72">SUM(D230-C230)</f>
        <v>0.57399999999999984</v>
      </c>
      <c r="F230" s="65">
        <f t="shared" ref="F230" si="73">SUM(D230/C230*100)</f>
        <v>119.13333333333334</v>
      </c>
      <c r="G230" s="61">
        <v>156.39699999999999</v>
      </c>
      <c r="H230" s="61">
        <v>118.28</v>
      </c>
      <c r="I230" s="63">
        <f>SUM(H230-G230)</f>
        <v>-38.11699999999999</v>
      </c>
      <c r="J230" s="65">
        <f>SUM(H230/G230*100)</f>
        <v>75.62804913137721</v>
      </c>
    </row>
    <row r="231" spans="1:10" ht="56.25" x14ac:dyDescent="0.3">
      <c r="A231" s="55" t="s">
        <v>438</v>
      </c>
      <c r="B231" s="168" t="s">
        <v>439</v>
      </c>
      <c r="C231" s="69"/>
      <c r="D231" s="69"/>
      <c r="E231" s="63"/>
      <c r="F231" s="65"/>
      <c r="G231" s="61">
        <v>141498.361</v>
      </c>
      <c r="H231" s="61"/>
      <c r="I231" s="63"/>
      <c r="J231" s="65"/>
    </row>
    <row r="232" spans="1:10" ht="20.25" x14ac:dyDescent="0.2">
      <c r="A232" s="115" t="s">
        <v>84</v>
      </c>
      <c r="B232" s="116" t="s">
        <v>131</v>
      </c>
      <c r="C232" s="60">
        <f>SUM(C235+C237)</f>
        <v>188294.05800000002</v>
      </c>
      <c r="D232" s="60">
        <f>SUM(D235+D237)</f>
        <v>228704.69500000001</v>
      </c>
      <c r="E232" s="60">
        <f t="shared" ref="E232:E239" si="74">SUM(D232-C232)</f>
        <v>40410.636999999988</v>
      </c>
      <c r="F232" s="68">
        <f>SUM(D232/C232*100)</f>
        <v>121.46145100340871</v>
      </c>
      <c r="G232" s="60">
        <f>SUM(G235+G237)</f>
        <v>64</v>
      </c>
      <c r="H232" s="60">
        <f>SUM(H235+H237+H233)</f>
        <v>71857.039000000004</v>
      </c>
      <c r="I232" s="60">
        <f>SUM(H232-G232)</f>
        <v>71793.039000000004</v>
      </c>
      <c r="J232" s="68" t="s">
        <v>463</v>
      </c>
    </row>
    <row r="233" spans="1:10" x14ac:dyDescent="0.2">
      <c r="A233" s="170" t="s">
        <v>441</v>
      </c>
      <c r="B233" s="172" t="s">
        <v>444</v>
      </c>
      <c r="C233" s="63"/>
      <c r="D233" s="63"/>
      <c r="E233" s="63"/>
      <c r="F233" s="67"/>
      <c r="G233" s="63"/>
      <c r="H233" s="63">
        <v>68361.248000000007</v>
      </c>
      <c r="I233" s="63">
        <f t="shared" ref="I233:I234" si="75">SUM(H233-G233)</f>
        <v>68361.248000000007</v>
      </c>
      <c r="J233" s="67"/>
    </row>
    <row r="234" spans="1:10" x14ac:dyDescent="0.2">
      <c r="A234" s="170" t="s">
        <v>442</v>
      </c>
      <c r="B234" s="172" t="s">
        <v>445</v>
      </c>
      <c r="C234" s="63"/>
      <c r="D234" s="63"/>
      <c r="E234" s="63"/>
      <c r="F234" s="67"/>
      <c r="G234" s="63"/>
      <c r="H234" s="63">
        <v>68361.248999999996</v>
      </c>
      <c r="I234" s="63">
        <f t="shared" si="75"/>
        <v>68361.248999999996</v>
      </c>
      <c r="J234" s="67"/>
    </row>
    <row r="235" spans="1:10" x14ac:dyDescent="0.2">
      <c r="A235" s="117">
        <v>7420</v>
      </c>
      <c r="B235" s="83" t="s">
        <v>135</v>
      </c>
      <c r="C235" s="63">
        <f>C236</f>
        <v>154504.52100000001</v>
      </c>
      <c r="D235" s="63">
        <f>D236</f>
        <v>185734.69</v>
      </c>
      <c r="E235" s="63">
        <f>SUM(D235-C235)</f>
        <v>31230.168999999994</v>
      </c>
      <c r="F235" s="67">
        <f>SUM(D235/C235*100)</f>
        <v>120.21311013934665</v>
      </c>
      <c r="G235" s="63"/>
      <c r="H235" s="63"/>
      <c r="I235" s="63"/>
      <c r="J235" s="67"/>
    </row>
    <row r="236" spans="1:10" x14ac:dyDescent="0.2">
      <c r="A236" s="118" t="s">
        <v>134</v>
      </c>
      <c r="B236" s="83" t="s">
        <v>83</v>
      </c>
      <c r="C236" s="63">
        <v>154504.52100000001</v>
      </c>
      <c r="D236" s="63">
        <v>185734.69</v>
      </c>
      <c r="E236" s="63">
        <f t="shared" si="74"/>
        <v>31230.168999999994</v>
      </c>
      <c r="F236" s="67">
        <f>SUM(D236/C236*100)</f>
        <v>120.21311013934665</v>
      </c>
      <c r="G236" s="63"/>
      <c r="H236" s="63"/>
      <c r="I236" s="63"/>
      <c r="J236" s="67"/>
    </row>
    <row r="237" spans="1:10" x14ac:dyDescent="0.2">
      <c r="A237" s="117">
        <v>7460</v>
      </c>
      <c r="B237" s="83" t="s">
        <v>132</v>
      </c>
      <c r="C237" s="63">
        <f>C238</f>
        <v>33789.536999999997</v>
      </c>
      <c r="D237" s="63">
        <f>D238</f>
        <v>42970.004999999997</v>
      </c>
      <c r="E237" s="63">
        <f t="shared" si="74"/>
        <v>9180.4680000000008</v>
      </c>
      <c r="F237" s="67">
        <f>SUM(D237/C237*100)</f>
        <v>127.16955843461247</v>
      </c>
      <c r="G237" s="63">
        <f>G238</f>
        <v>64</v>
      </c>
      <c r="H237" s="63">
        <f>H238</f>
        <v>3495.7910000000002</v>
      </c>
      <c r="I237" s="63">
        <f>SUM(H237-G237)</f>
        <v>3431.7910000000002</v>
      </c>
      <c r="J237" s="67" t="s">
        <v>458</v>
      </c>
    </row>
    <row r="238" spans="1:10" ht="37.5" x14ac:dyDescent="0.2">
      <c r="A238" s="117">
        <v>7461</v>
      </c>
      <c r="B238" s="83" t="s">
        <v>133</v>
      </c>
      <c r="C238" s="61">
        <v>33789.536999999997</v>
      </c>
      <c r="D238" s="61">
        <v>42970.004999999997</v>
      </c>
      <c r="E238" s="63">
        <f t="shared" si="74"/>
        <v>9180.4680000000008</v>
      </c>
      <c r="F238" s="67">
        <f>SUM(D238/C238*100)</f>
        <v>127.16955843461247</v>
      </c>
      <c r="G238" s="61">
        <v>64</v>
      </c>
      <c r="H238" s="61">
        <v>3495.7910000000002</v>
      </c>
      <c r="I238" s="63">
        <f>SUM(H238-G238)</f>
        <v>3431.7910000000002</v>
      </c>
      <c r="J238" s="67" t="s">
        <v>458</v>
      </c>
    </row>
    <row r="239" spans="1:10" ht="20.25" x14ac:dyDescent="0.3">
      <c r="A239" s="119" t="s">
        <v>90</v>
      </c>
      <c r="B239" s="80" t="s">
        <v>136</v>
      </c>
      <c r="C239" s="81">
        <f>SUM(C241:C244)</f>
        <v>9797.4279999999999</v>
      </c>
      <c r="D239" s="81">
        <f>SUM(D240:D244)</f>
        <v>11654.898000000001</v>
      </c>
      <c r="E239" s="60">
        <f t="shared" si="74"/>
        <v>1857.4700000000012</v>
      </c>
      <c r="F239" s="68">
        <f t="shared" ref="F239" si="76">SUM(D239/C239*100)</f>
        <v>118.95875121511483</v>
      </c>
      <c r="G239" s="81">
        <f>SUM(G241:G244)</f>
        <v>223302.99399999998</v>
      </c>
      <c r="H239" s="81">
        <f>SUM(H241:H244)</f>
        <v>516506.78600000002</v>
      </c>
      <c r="I239" s="60">
        <f>SUM(H239-G239)</f>
        <v>293203.79200000002</v>
      </c>
      <c r="J239" s="103" t="s">
        <v>450</v>
      </c>
    </row>
    <row r="240" spans="1:10" x14ac:dyDescent="0.3">
      <c r="A240" s="120" t="s">
        <v>432</v>
      </c>
      <c r="B240" s="122" t="s">
        <v>433</v>
      </c>
      <c r="C240" s="81"/>
      <c r="D240" s="61">
        <v>3.5</v>
      </c>
      <c r="E240" s="60"/>
      <c r="F240" s="68"/>
      <c r="G240" s="81"/>
      <c r="H240" s="81"/>
      <c r="I240" s="60"/>
      <c r="J240" s="103"/>
    </row>
    <row r="241" spans="1:10" x14ac:dyDescent="0.3">
      <c r="A241" s="120" t="s">
        <v>137</v>
      </c>
      <c r="B241" s="57" t="s">
        <v>88</v>
      </c>
      <c r="C241" s="61">
        <v>5954.0910000000003</v>
      </c>
      <c r="D241" s="62">
        <v>5998.0950000000003</v>
      </c>
      <c r="E241" s="63">
        <f>SUM(D241-C241)</f>
        <v>44.003999999999905</v>
      </c>
      <c r="F241" s="76">
        <f>SUM(D241/C241*100)</f>
        <v>100.73905487840209</v>
      </c>
      <c r="G241" s="61">
        <v>7253.8789999999999</v>
      </c>
      <c r="H241" s="63">
        <v>1109.4280000000001</v>
      </c>
      <c r="I241" s="63">
        <f>SUM(H241-G241)</f>
        <v>-6144.451</v>
      </c>
      <c r="J241" s="76">
        <f>SUM(H241/G241*100)</f>
        <v>15.294272209393073</v>
      </c>
    </row>
    <row r="242" spans="1:10" x14ac:dyDescent="0.3">
      <c r="A242" s="55" t="s">
        <v>138</v>
      </c>
      <c r="B242" s="57" t="s">
        <v>85</v>
      </c>
      <c r="C242" s="61"/>
      <c r="D242" s="61"/>
      <c r="E242" s="63"/>
      <c r="F242" s="152"/>
      <c r="G242" s="61">
        <v>216049.11499999999</v>
      </c>
      <c r="H242" s="61">
        <v>513098.64199999999</v>
      </c>
      <c r="I242" s="63">
        <f>SUM(H242-G242)</f>
        <v>297049.527</v>
      </c>
      <c r="J242" s="76" t="s">
        <v>447</v>
      </c>
    </row>
    <row r="243" spans="1:10" x14ac:dyDescent="0.3">
      <c r="A243" s="55" t="s">
        <v>164</v>
      </c>
      <c r="B243" s="57" t="s">
        <v>167</v>
      </c>
      <c r="C243" s="61">
        <v>210.822</v>
      </c>
      <c r="D243" s="62">
        <v>285.09899999999999</v>
      </c>
      <c r="E243" s="63">
        <f t="shared" ref="E243:E250" si="77">SUM(D243-C243)</f>
        <v>74.276999999999987</v>
      </c>
      <c r="F243" s="67">
        <f t="shared" ref="F243:F247" si="78">SUM(D243/C243*100)</f>
        <v>135.23209152744968</v>
      </c>
      <c r="G243" s="61"/>
      <c r="H243" s="61"/>
      <c r="I243" s="63"/>
      <c r="J243" s="67"/>
    </row>
    <row r="244" spans="1:10" x14ac:dyDescent="0.3">
      <c r="A244" s="55" t="s">
        <v>140</v>
      </c>
      <c r="B244" s="121" t="s">
        <v>139</v>
      </c>
      <c r="C244" s="61">
        <f>C245</f>
        <v>3632.5149999999999</v>
      </c>
      <c r="D244" s="61">
        <f>D245</f>
        <v>5368.2039999999997</v>
      </c>
      <c r="E244" s="63">
        <f t="shared" si="77"/>
        <v>1735.6889999999999</v>
      </c>
      <c r="F244" s="67">
        <f t="shared" si="78"/>
        <v>147.78201879414127</v>
      </c>
      <c r="G244" s="61"/>
      <c r="H244" s="61">
        <f>H245</f>
        <v>2298.7159999999999</v>
      </c>
      <c r="I244" s="63">
        <f>SUM(H244-G244)</f>
        <v>2298.7159999999999</v>
      </c>
      <c r="J244" s="67"/>
    </row>
    <row r="245" spans="1:10" x14ac:dyDescent="0.2">
      <c r="A245" s="55" t="s">
        <v>141</v>
      </c>
      <c r="B245" s="83" t="s">
        <v>89</v>
      </c>
      <c r="C245" s="61">
        <v>3632.5149999999999</v>
      </c>
      <c r="D245" s="62">
        <v>5368.2039999999997</v>
      </c>
      <c r="E245" s="63">
        <f t="shared" si="77"/>
        <v>1735.6889999999999</v>
      </c>
      <c r="F245" s="67">
        <f t="shared" si="78"/>
        <v>147.78201879414127</v>
      </c>
      <c r="G245" s="61"/>
      <c r="H245" s="61">
        <v>2298.7159999999999</v>
      </c>
      <c r="I245" s="63">
        <f>SUM(H245-G245)</f>
        <v>2298.7159999999999</v>
      </c>
      <c r="J245" s="67"/>
    </row>
    <row r="246" spans="1:10" ht="20.25" x14ac:dyDescent="0.2">
      <c r="A246" s="163" t="s">
        <v>81</v>
      </c>
      <c r="B246" s="92" t="s">
        <v>151</v>
      </c>
      <c r="C246" s="93">
        <f>SUM(C247)+C249+C256</f>
        <v>25784.288549999997</v>
      </c>
      <c r="D246" s="93">
        <f>SUM(D247)+D249+D256+D252</f>
        <v>28447.722809999999</v>
      </c>
      <c r="E246" s="29">
        <f t="shared" si="77"/>
        <v>2663.4342600000018</v>
      </c>
      <c r="F246" s="68">
        <f t="shared" si="78"/>
        <v>110.32967907892888</v>
      </c>
      <c r="G246" s="93">
        <f>SUM(G247)+G249</f>
        <v>38050.356920000006</v>
      </c>
      <c r="H246" s="93">
        <f>SUM(H247)+H249+H256+H252</f>
        <v>17692.377799999998</v>
      </c>
      <c r="I246" s="29">
        <f>SUM(H246-G246)</f>
        <v>-20357.979120000007</v>
      </c>
      <c r="J246" s="68">
        <f>SUM(H246/G246*100)</f>
        <v>46.497271595107016</v>
      </c>
    </row>
    <row r="247" spans="1:10" s="82" customFormat="1" ht="40.5" x14ac:dyDescent="0.3">
      <c r="A247" s="79" t="s">
        <v>142</v>
      </c>
      <c r="B247" s="80" t="s">
        <v>143</v>
      </c>
      <c r="C247" s="81">
        <f>SUM(C248:C248)</f>
        <v>24856.763999999999</v>
      </c>
      <c r="D247" s="81">
        <f>SUM(D248:D248)</f>
        <v>21377.69227</v>
      </c>
      <c r="E247" s="60">
        <f t="shared" si="77"/>
        <v>-3479.0717299999997</v>
      </c>
      <c r="F247" s="64">
        <f t="shared" si="78"/>
        <v>86.003521093896211</v>
      </c>
      <c r="G247" s="81">
        <f>SUM(G248:G248)</f>
        <v>33648.056920000003</v>
      </c>
      <c r="H247" s="81">
        <f>SUM(H248:H248)</f>
        <v>17580.469799999999</v>
      </c>
      <c r="I247" s="60">
        <f>SUM(H247-G247)</f>
        <v>-16067.587120000004</v>
      </c>
      <c r="J247" s="64">
        <f>SUM(H247/G247*100)</f>
        <v>52.24809813475553</v>
      </c>
    </row>
    <row r="248" spans="1:10" s="82" customFormat="1" x14ac:dyDescent="0.2">
      <c r="A248" s="55" t="s">
        <v>144</v>
      </c>
      <c r="B248" s="83" t="s">
        <v>145</v>
      </c>
      <c r="C248" s="61">
        <v>24856.763999999999</v>
      </c>
      <c r="D248" s="62">
        <v>21377.69227</v>
      </c>
      <c r="E248" s="63">
        <f t="shared" si="77"/>
        <v>-3479.0717299999997</v>
      </c>
      <c r="F248" s="65">
        <f>SUM(D248/C248*100)</f>
        <v>86.003521093896211</v>
      </c>
      <c r="G248" s="61">
        <v>33648.056920000003</v>
      </c>
      <c r="H248" s="61">
        <v>17580.469799999999</v>
      </c>
      <c r="I248" s="63">
        <f>SUM(H248-G248)</f>
        <v>-16067.587120000004</v>
      </c>
      <c r="J248" s="65">
        <f>SUM(H248/G248*100)</f>
        <v>52.24809813475553</v>
      </c>
    </row>
    <row r="249" spans="1:10" x14ac:dyDescent="0.2">
      <c r="A249" s="153" t="s">
        <v>149</v>
      </c>
      <c r="B249" s="136" t="s">
        <v>152</v>
      </c>
      <c r="C249" s="93">
        <f t="shared" ref="C249" si="79">SUM(C250:C251)</f>
        <v>558.61899999999991</v>
      </c>
      <c r="D249" s="93">
        <f>SUM(D250:D251)</f>
        <v>49.875</v>
      </c>
      <c r="E249" s="93">
        <f t="shared" ref="E249" si="80">SUM(E250:E251)</f>
        <v>27.074999999999999</v>
      </c>
      <c r="F249" s="68">
        <f>SUM(D249/C249*100)</f>
        <v>8.9282677459950364</v>
      </c>
      <c r="G249" s="93">
        <f t="shared" ref="G249" si="81">SUM(G250:G251)</f>
        <v>4402.3</v>
      </c>
      <c r="H249" s="93"/>
      <c r="I249" s="93"/>
      <c r="J249" s="68"/>
    </row>
    <row r="250" spans="1:10" x14ac:dyDescent="0.3">
      <c r="A250" s="30" t="s">
        <v>150</v>
      </c>
      <c r="B250" s="74" t="s">
        <v>159</v>
      </c>
      <c r="C250" s="90">
        <v>22.8</v>
      </c>
      <c r="D250" s="32">
        <v>49.875</v>
      </c>
      <c r="E250" s="47">
        <f t="shared" si="77"/>
        <v>27.074999999999999</v>
      </c>
      <c r="F250" s="67" t="s">
        <v>454</v>
      </c>
      <c r="G250" s="33"/>
      <c r="H250" s="33"/>
      <c r="I250" s="47"/>
      <c r="J250" s="67"/>
    </row>
    <row r="251" spans="1:10" x14ac:dyDescent="0.2">
      <c r="A251" s="30" t="s">
        <v>371</v>
      </c>
      <c r="B251" s="39" t="s">
        <v>372</v>
      </c>
      <c r="C251" s="154">
        <v>535.81899999999996</v>
      </c>
      <c r="D251" s="32"/>
      <c r="E251" s="47"/>
      <c r="F251" s="67"/>
      <c r="G251" s="33">
        <v>4402.3</v>
      </c>
      <c r="H251" s="47"/>
      <c r="I251" s="47"/>
      <c r="J251" s="67"/>
    </row>
    <row r="252" spans="1:10" s="82" customFormat="1" x14ac:dyDescent="0.2">
      <c r="A252" s="84" t="s">
        <v>318</v>
      </c>
      <c r="B252" s="85" t="s">
        <v>319</v>
      </c>
      <c r="C252" s="86"/>
      <c r="D252" s="86">
        <f>D253</f>
        <v>5684.6761200000001</v>
      </c>
      <c r="E252" s="60">
        <f>SUM(D252-C252)</f>
        <v>5684.6761200000001</v>
      </c>
      <c r="F252" s="64"/>
      <c r="G252" s="81"/>
      <c r="H252" s="86">
        <f>H253+H255</f>
        <v>111.908</v>
      </c>
      <c r="I252" s="60">
        <f>SUM(H252-G252)</f>
        <v>111.908</v>
      </c>
      <c r="J252" s="65"/>
    </row>
    <row r="253" spans="1:10" s="82" customFormat="1" x14ac:dyDescent="0.2">
      <c r="A253" s="55" t="s">
        <v>320</v>
      </c>
      <c r="B253" s="87" t="s">
        <v>322</v>
      </c>
      <c r="C253" s="88"/>
      <c r="D253" s="62">
        <f>SUM(D254)</f>
        <v>5684.6761200000001</v>
      </c>
      <c r="E253" s="62">
        <f>SUM(E254)</f>
        <v>5684.6761200000001</v>
      </c>
      <c r="F253" s="65"/>
      <c r="G253" s="61"/>
      <c r="H253" s="63"/>
      <c r="I253" s="63"/>
      <c r="J253" s="65"/>
    </row>
    <row r="254" spans="1:10" s="82" customFormat="1" x14ac:dyDescent="0.2">
      <c r="A254" s="55" t="s">
        <v>321</v>
      </c>
      <c r="B254" s="87" t="s">
        <v>323</v>
      </c>
      <c r="C254" s="88"/>
      <c r="D254" s="62">
        <v>5684.6761200000001</v>
      </c>
      <c r="E254" s="63">
        <f>SUM(D254-C254)</f>
        <v>5684.6761200000001</v>
      </c>
      <c r="F254" s="65"/>
      <c r="G254" s="61"/>
      <c r="H254" s="63"/>
      <c r="I254" s="63"/>
      <c r="J254" s="65"/>
    </row>
    <row r="255" spans="1:10" s="82" customFormat="1" x14ac:dyDescent="0.2">
      <c r="A255" s="55" t="s">
        <v>440</v>
      </c>
      <c r="B255" s="172" t="s">
        <v>443</v>
      </c>
      <c r="C255" s="171"/>
      <c r="D255" s="62"/>
      <c r="E255" s="63"/>
      <c r="F255" s="65"/>
      <c r="G255" s="61"/>
      <c r="H255" s="63">
        <v>111.908</v>
      </c>
      <c r="I255" s="63">
        <f>SUM(H255-G255)</f>
        <v>111.908</v>
      </c>
      <c r="J255" s="65"/>
    </row>
    <row r="256" spans="1:10" s="82" customFormat="1" x14ac:dyDescent="0.2">
      <c r="A256" s="55" t="s">
        <v>299</v>
      </c>
      <c r="B256" s="87" t="s">
        <v>300</v>
      </c>
      <c r="C256" s="88">
        <v>368.90555000000001</v>
      </c>
      <c r="D256" s="62">
        <v>1335.4794199999999</v>
      </c>
      <c r="E256" s="63">
        <f>SUM(D256-C256)</f>
        <v>966.57386999999994</v>
      </c>
      <c r="F256" s="65">
        <f>SUM(D256/C256*100)</f>
        <v>362.0112031385811</v>
      </c>
      <c r="G256" s="61"/>
      <c r="H256" s="63"/>
      <c r="I256" s="63"/>
      <c r="J256" s="65"/>
    </row>
    <row r="257" spans="1:10" ht="20.25" x14ac:dyDescent="0.2">
      <c r="A257" s="48"/>
      <c r="B257" s="77" t="s">
        <v>15</v>
      </c>
      <c r="C257" s="93">
        <f>C117+C121+C151+C160+C190+C197+C211+C227+C246</f>
        <v>1896400.6516599997</v>
      </c>
      <c r="D257" s="93">
        <f>D117+D121+D151+D160+D190+D197+D211+D227+D246</f>
        <v>2204840.4186</v>
      </c>
      <c r="E257" s="29">
        <f>SUM(D257-C257)</f>
        <v>308439.76694000023</v>
      </c>
      <c r="F257" s="68">
        <f t="shared" ref="F257:F258" si="82">SUM(D257/C257*100)</f>
        <v>116.26448328152649</v>
      </c>
      <c r="G257" s="93">
        <f>G117+G121+G151+G160+G190+G197+G211+G227+G246</f>
        <v>560420.38868999993</v>
      </c>
      <c r="H257" s="93">
        <f>H117+H121+H151+H160+H190+H197+H211+H227+H246</f>
        <v>950295.28480000002</v>
      </c>
      <c r="I257" s="29">
        <f>SUM(H257-G257)</f>
        <v>389874.89611000009</v>
      </c>
      <c r="J257" s="68" t="s">
        <v>420</v>
      </c>
    </row>
    <row r="258" spans="1:10" ht="20.25" x14ac:dyDescent="0.2">
      <c r="A258" s="48"/>
      <c r="B258" s="77" t="s">
        <v>13</v>
      </c>
      <c r="C258" s="93">
        <f>SUM(C259:C260)</f>
        <v>34910.199999999997</v>
      </c>
      <c r="D258" s="93">
        <f>SUM(D259:D260)</f>
        <v>40000</v>
      </c>
      <c r="E258" s="29">
        <f>SUM(D258-C258)</f>
        <v>5089.8000000000029</v>
      </c>
      <c r="F258" s="68">
        <f t="shared" si="82"/>
        <v>114.57969304100234</v>
      </c>
      <c r="G258" s="93"/>
      <c r="H258" s="93"/>
      <c r="I258" s="29"/>
      <c r="J258" s="103"/>
    </row>
    <row r="259" spans="1:10" x14ac:dyDescent="0.2">
      <c r="A259" s="36" t="s">
        <v>169</v>
      </c>
      <c r="B259" s="38" t="s">
        <v>166</v>
      </c>
      <c r="C259" s="47">
        <v>27647.200000000001</v>
      </c>
      <c r="D259" s="32">
        <v>20000</v>
      </c>
      <c r="E259" s="47">
        <f t="shared" ref="E259" si="83">SUM(D259-C259)</f>
        <v>-7647.2000000000007</v>
      </c>
      <c r="F259" s="67">
        <f>SUM(D259/C259*100)</f>
        <v>72.340056135883557</v>
      </c>
      <c r="G259" s="47"/>
      <c r="H259" s="47"/>
      <c r="I259" s="47"/>
      <c r="J259" s="76"/>
    </row>
    <row r="260" spans="1:10" ht="45.75" customHeight="1" x14ac:dyDescent="0.2">
      <c r="A260" s="36" t="s">
        <v>429</v>
      </c>
      <c r="B260" s="137" t="s">
        <v>436</v>
      </c>
      <c r="C260" s="47">
        <v>7263</v>
      </c>
      <c r="D260" s="105">
        <v>20000</v>
      </c>
      <c r="E260" s="47">
        <f t="shared" ref="E260" si="84">SUM(D260-C260)</f>
        <v>12737</v>
      </c>
      <c r="F260" s="67" t="s">
        <v>351</v>
      </c>
      <c r="G260" s="47"/>
      <c r="H260" s="47"/>
      <c r="I260" s="47"/>
      <c r="J260" s="76"/>
    </row>
    <row r="261" spans="1:10" ht="20.25" x14ac:dyDescent="0.2">
      <c r="A261" s="27"/>
      <c r="B261" s="155" t="s">
        <v>17</v>
      </c>
      <c r="C261" s="93">
        <f>C257+C258</f>
        <v>1931310.8516599997</v>
      </c>
      <c r="D261" s="93">
        <f>D257+D258</f>
        <v>2244840.4186</v>
      </c>
      <c r="E261" s="29">
        <f>SUM(D261-C261)</f>
        <v>313529.56694000028</v>
      </c>
      <c r="F261" s="68">
        <f>SUM(D261/C261*100)</f>
        <v>116.23402916576144</v>
      </c>
      <c r="G261" s="93">
        <f>G257+G258</f>
        <v>560420.38868999993</v>
      </c>
      <c r="H261" s="93">
        <f>H257+H258</f>
        <v>950295.28480000002</v>
      </c>
      <c r="I261" s="29">
        <f t="shared" ref="I261:I266" si="85">SUM(H261-G261)</f>
        <v>389874.89611000009</v>
      </c>
      <c r="J261" s="68" t="s">
        <v>420</v>
      </c>
    </row>
    <row r="262" spans="1:10" ht="20.25" x14ac:dyDescent="0.2">
      <c r="A262" s="27"/>
      <c r="B262" s="169" t="s">
        <v>16</v>
      </c>
      <c r="C262" s="29"/>
      <c r="D262" s="29">
        <f>SUM(D264:D265)</f>
        <v>1888.29</v>
      </c>
      <c r="E262" s="29">
        <f t="shared" ref="E262" si="86">SUM(D262-C262)</f>
        <v>1888.29</v>
      </c>
      <c r="F262" s="103"/>
      <c r="G262" s="29">
        <f>SUM(G264:G265)</f>
        <v>-4404.6099999999997</v>
      </c>
      <c r="H262" s="29">
        <f>SUM(H264:H265)</f>
        <v>1436.04</v>
      </c>
      <c r="I262" s="29">
        <f t="shared" si="85"/>
        <v>5840.65</v>
      </c>
      <c r="J262" s="103">
        <f>SUM(H262/G262*100)</f>
        <v>-32.603113556024262</v>
      </c>
    </row>
    <row r="263" spans="1:10" ht="40.5" x14ac:dyDescent="0.2">
      <c r="A263" s="27" t="s">
        <v>147</v>
      </c>
      <c r="B263" s="169" t="s">
        <v>148</v>
      </c>
      <c r="C263" s="29"/>
      <c r="D263" s="29">
        <f>SUM(D264:D265)</f>
        <v>1888.29</v>
      </c>
      <c r="E263" s="29">
        <f t="shared" ref="E263" si="87">SUM(D263-C263)</f>
        <v>1888.29</v>
      </c>
      <c r="F263" s="103"/>
      <c r="G263" s="29">
        <f>SUM(G264:G265)</f>
        <v>-4404.6099999999997</v>
      </c>
      <c r="H263" s="29">
        <f>SUM(H264:H265)</f>
        <v>1436.04</v>
      </c>
      <c r="I263" s="29">
        <f t="shared" si="85"/>
        <v>5840.65</v>
      </c>
      <c r="J263" s="103">
        <f>SUM(H263/G263*100)</f>
        <v>-32.603113556024262</v>
      </c>
    </row>
    <row r="264" spans="1:10" ht="37.5" x14ac:dyDescent="0.2">
      <c r="A264" s="30" t="s">
        <v>428</v>
      </c>
      <c r="B264" s="137" t="s">
        <v>437</v>
      </c>
      <c r="C264" s="29"/>
      <c r="D264" s="47">
        <v>1888.29</v>
      </c>
      <c r="E264" s="47">
        <f t="shared" ref="E264" si="88">SUM(D264-C264)</f>
        <v>1888.29</v>
      </c>
      <c r="F264" s="76"/>
      <c r="G264" s="47"/>
      <c r="H264" s="47">
        <v>5772.0330000000004</v>
      </c>
      <c r="I264" s="47">
        <f t="shared" si="85"/>
        <v>5772.0330000000004</v>
      </c>
      <c r="J264" s="76"/>
    </row>
    <row r="265" spans="1:10" ht="37.5" x14ac:dyDescent="0.2">
      <c r="A265" s="30" t="s">
        <v>146</v>
      </c>
      <c r="B265" s="39" t="s">
        <v>177</v>
      </c>
      <c r="C265" s="47"/>
      <c r="D265" s="47"/>
      <c r="E265" s="47"/>
      <c r="F265" s="67"/>
      <c r="G265" s="47">
        <v>-4404.6099999999997</v>
      </c>
      <c r="H265" s="47">
        <v>-4335.9930000000004</v>
      </c>
      <c r="I265" s="47">
        <f t="shared" si="85"/>
        <v>68.61699999999928</v>
      </c>
      <c r="J265" s="76">
        <f>SUM(H265/G265*100)</f>
        <v>98.442154924045497</v>
      </c>
    </row>
    <row r="266" spans="1:10" ht="20.25" x14ac:dyDescent="0.2">
      <c r="A266" s="91"/>
      <c r="B266" s="169" t="s">
        <v>14</v>
      </c>
      <c r="C266" s="93">
        <f>C261+C262</f>
        <v>1931310.8516599997</v>
      </c>
      <c r="D266" s="93">
        <f>D261+D262</f>
        <v>2246728.7086</v>
      </c>
      <c r="E266" s="29">
        <f>SUM(D266-C266)</f>
        <v>315417.85694000032</v>
      </c>
      <c r="F266" s="68">
        <f>SUM(D266/C266*100)</f>
        <v>116.33180161903469</v>
      </c>
      <c r="G266" s="93">
        <f>G261+G262</f>
        <v>556015.77868999995</v>
      </c>
      <c r="H266" s="93">
        <f>H261+H262</f>
        <v>951731.32480000006</v>
      </c>
      <c r="I266" s="29">
        <f t="shared" si="85"/>
        <v>395715.54611000011</v>
      </c>
      <c r="J266" s="103" t="s">
        <v>420</v>
      </c>
    </row>
    <row r="267" spans="1:10" ht="20.25" x14ac:dyDescent="0.2">
      <c r="A267" s="91"/>
      <c r="B267" s="92" t="s">
        <v>18</v>
      </c>
      <c r="C267" s="93"/>
      <c r="D267" s="93"/>
      <c r="E267" s="47"/>
      <c r="F267" s="67"/>
      <c r="G267" s="93"/>
      <c r="H267" s="93"/>
      <c r="I267" s="29"/>
      <c r="J267" s="103"/>
    </row>
    <row r="268" spans="1:10" ht="20.25" x14ac:dyDescent="0.2">
      <c r="A268" s="94"/>
      <c r="B268" s="92" t="s">
        <v>19</v>
      </c>
      <c r="C268" s="93">
        <f>-C269</f>
        <v>896339.10100000002</v>
      </c>
      <c r="D268" s="93">
        <f>-D269</f>
        <v>978151.745</v>
      </c>
      <c r="E268" s="29">
        <f>SUM(D268-C268)</f>
        <v>81812.643999999971</v>
      </c>
      <c r="F268" s="68">
        <f>SUM(D268/C268*100)</f>
        <v>109.1274210740919</v>
      </c>
      <c r="G268" s="93">
        <f>-G269-G272</f>
        <v>-279153.58999999997</v>
      </c>
      <c r="H268" s="93">
        <f>-H269-H272</f>
        <v>-679058.98299999989</v>
      </c>
      <c r="I268" s="29">
        <f t="shared" ref="I268:I273" si="89">SUM(H268-G268)</f>
        <v>-399905.39299999992</v>
      </c>
      <c r="J268" s="103" t="s">
        <v>447</v>
      </c>
    </row>
    <row r="269" spans="1:10" ht="20.25" x14ac:dyDescent="0.2">
      <c r="A269" s="95">
        <v>200000</v>
      </c>
      <c r="B269" s="92" t="s">
        <v>20</v>
      </c>
      <c r="C269" s="93">
        <f>SUM(C270:C271)</f>
        <v>-896339.10100000002</v>
      </c>
      <c r="D269" s="93">
        <f>SUM(D270:D271)</f>
        <v>-978151.745</v>
      </c>
      <c r="E269" s="29">
        <f>SUM(D269-C269)</f>
        <v>-81812.643999999971</v>
      </c>
      <c r="F269" s="68">
        <f>SUM(D269/C269*100)</f>
        <v>109.1274210740919</v>
      </c>
      <c r="G269" s="93">
        <f>SUM(G270:G271)</f>
        <v>281143.85199999996</v>
      </c>
      <c r="H269" s="93">
        <f>SUM(H270:H271)</f>
        <v>681224.57699999993</v>
      </c>
      <c r="I269" s="29">
        <f t="shared" si="89"/>
        <v>400080.72499999998</v>
      </c>
      <c r="J269" s="103" t="s">
        <v>447</v>
      </c>
    </row>
    <row r="270" spans="1:10" x14ac:dyDescent="0.3">
      <c r="A270" s="96">
        <v>205000</v>
      </c>
      <c r="B270" s="49" t="s">
        <v>21</v>
      </c>
      <c r="C270" s="90">
        <v>-37684.78</v>
      </c>
      <c r="D270" s="90">
        <v>-14850.897000000001</v>
      </c>
      <c r="E270" s="47">
        <f>SUM(D270-C270)</f>
        <v>22833.882999999998</v>
      </c>
      <c r="F270" s="76">
        <f>SUM(D270/C270*100)</f>
        <v>39.40820936197585</v>
      </c>
      <c r="G270" s="90">
        <v>-29345.633000000002</v>
      </c>
      <c r="H270" s="90">
        <v>-51264.258000000002</v>
      </c>
      <c r="I270" s="47">
        <f t="shared" si="89"/>
        <v>-21918.625</v>
      </c>
      <c r="J270" s="76" t="s">
        <v>420</v>
      </c>
    </row>
    <row r="271" spans="1:10" x14ac:dyDescent="0.3">
      <c r="A271" s="96">
        <v>208000</v>
      </c>
      <c r="B271" s="49" t="s">
        <v>22</v>
      </c>
      <c r="C271" s="90">
        <v>-858654.321</v>
      </c>
      <c r="D271" s="90">
        <v>-963300.848</v>
      </c>
      <c r="E271" s="47">
        <f>SUM(D271-C271)</f>
        <v>-104646.527</v>
      </c>
      <c r="F271" s="76">
        <f>SUM(D271/C271*100)</f>
        <v>112.18727076084906</v>
      </c>
      <c r="G271" s="90">
        <v>310489.48499999999</v>
      </c>
      <c r="H271" s="90">
        <v>732488.83499999996</v>
      </c>
      <c r="I271" s="47">
        <f t="shared" si="89"/>
        <v>421999.35</v>
      </c>
      <c r="J271" s="76" t="s">
        <v>447</v>
      </c>
    </row>
    <row r="272" spans="1:10" x14ac:dyDescent="0.3">
      <c r="A272" s="96">
        <v>300000</v>
      </c>
      <c r="B272" s="49" t="s">
        <v>301</v>
      </c>
      <c r="C272" s="90"/>
      <c r="D272" s="90"/>
      <c r="E272" s="47"/>
      <c r="F272" s="76"/>
      <c r="G272" s="90">
        <v>-1990.2619999999999</v>
      </c>
      <c r="H272" s="90">
        <v>-2165.5940000000001</v>
      </c>
      <c r="I272" s="47">
        <f t="shared" si="89"/>
        <v>-175.33200000000011</v>
      </c>
      <c r="J272" s="76">
        <f>SUM(H272/G272*100)</f>
        <v>108.80949342347893</v>
      </c>
    </row>
    <row r="273" spans="1:10" ht="20.25" x14ac:dyDescent="0.3">
      <c r="A273" s="97">
        <v>900230</v>
      </c>
      <c r="B273" s="98" t="s">
        <v>23</v>
      </c>
      <c r="C273" s="93">
        <f>-C268</f>
        <v>-896339.10100000002</v>
      </c>
      <c r="D273" s="93">
        <f>-D268</f>
        <v>-978151.745</v>
      </c>
      <c r="E273" s="29">
        <f>SUM(D273-C273)</f>
        <v>-81812.643999999971</v>
      </c>
      <c r="F273" s="68">
        <f>SUM(D273/C273*100)</f>
        <v>109.1274210740919</v>
      </c>
      <c r="G273" s="93">
        <f>-G268</f>
        <v>279153.58999999997</v>
      </c>
      <c r="H273" s="93">
        <f>-H268</f>
        <v>679058.98299999989</v>
      </c>
      <c r="I273" s="29">
        <f t="shared" si="89"/>
        <v>399905.39299999992</v>
      </c>
      <c r="J273" s="103" t="s">
        <v>447</v>
      </c>
    </row>
    <row r="274" spans="1:10" ht="36" customHeight="1" x14ac:dyDescent="0.3">
      <c r="A274" s="175" t="s">
        <v>277</v>
      </c>
      <c r="B274" s="175"/>
      <c r="C274" s="175"/>
      <c r="D274" s="175"/>
      <c r="E274" s="175"/>
      <c r="F274" s="175"/>
      <c r="G274" s="175"/>
      <c r="H274" s="175"/>
      <c r="I274" s="175"/>
      <c r="J274" s="175"/>
    </row>
    <row r="275" spans="1:10" ht="66.75" customHeight="1" x14ac:dyDescent="0.2">
      <c r="A275" s="99" t="s">
        <v>2</v>
      </c>
      <c r="B275" s="100" t="s">
        <v>25</v>
      </c>
      <c r="C275" s="2" t="s">
        <v>382</v>
      </c>
      <c r="D275" s="2" t="s">
        <v>383</v>
      </c>
      <c r="E275" s="101" t="s">
        <v>27</v>
      </c>
      <c r="F275" s="102" t="s">
        <v>28</v>
      </c>
      <c r="G275" s="2"/>
      <c r="H275" s="2"/>
      <c r="I275" s="101"/>
      <c r="J275" s="102"/>
    </row>
    <row r="276" spans="1:10" ht="20.25" x14ac:dyDescent="0.3">
      <c r="A276" s="173" t="s">
        <v>337</v>
      </c>
      <c r="B276" s="174"/>
      <c r="C276" s="108"/>
      <c r="D276" s="104"/>
      <c r="E276" s="29"/>
      <c r="F276" s="109"/>
      <c r="G276" s="107"/>
      <c r="H276" s="107"/>
      <c r="I276" s="47"/>
      <c r="J276" s="110"/>
    </row>
    <row r="277" spans="1:10" ht="20.25" x14ac:dyDescent="0.3">
      <c r="A277" s="97">
        <v>400000</v>
      </c>
      <c r="B277" s="98" t="s">
        <v>24</v>
      </c>
      <c r="C277" s="104"/>
      <c r="D277" s="104">
        <f>D278</f>
        <v>76808.467999999993</v>
      </c>
      <c r="E277" s="29">
        <f>SUM(D277-C277)</f>
        <v>76808.467999999993</v>
      </c>
      <c r="F277" s="109"/>
      <c r="G277" s="107"/>
      <c r="H277" s="107"/>
      <c r="I277" s="47"/>
      <c r="J277" s="110"/>
    </row>
    <row r="278" spans="1:10" x14ac:dyDescent="0.3">
      <c r="A278" s="96" t="s">
        <v>335</v>
      </c>
      <c r="B278" s="39" t="s">
        <v>336</v>
      </c>
      <c r="C278" s="105"/>
      <c r="D278" s="105">
        <v>76808.467999999993</v>
      </c>
      <c r="E278" s="47">
        <f>SUM(D278-C278)</f>
        <v>76808.467999999993</v>
      </c>
      <c r="F278" s="110"/>
      <c r="G278" s="111"/>
      <c r="H278" s="111"/>
      <c r="I278" s="47"/>
      <c r="J278" s="110"/>
    </row>
    <row r="279" spans="1:10" ht="24" customHeight="1" x14ac:dyDescent="0.3">
      <c r="A279" s="173" t="s">
        <v>338</v>
      </c>
      <c r="B279" s="174"/>
      <c r="C279" s="105"/>
      <c r="D279" s="47"/>
      <c r="E279" s="47"/>
      <c r="F279" s="110"/>
      <c r="G279" s="111"/>
      <c r="H279" s="111"/>
      <c r="I279" s="47"/>
      <c r="J279" s="110"/>
    </row>
    <row r="280" spans="1:10" ht="20.25" x14ac:dyDescent="0.3">
      <c r="A280" s="97">
        <v>400000</v>
      </c>
      <c r="B280" s="98" t="s">
        <v>24</v>
      </c>
      <c r="C280" s="104">
        <f>C281</f>
        <v>81646.316999999995</v>
      </c>
      <c r="D280" s="104">
        <f>D281</f>
        <v>81646.316999999995</v>
      </c>
      <c r="E280" s="29">
        <f>SUM(D280-C280)</f>
        <v>0</v>
      </c>
      <c r="F280" s="109">
        <f>SUM(D280/C280*100)</f>
        <v>100</v>
      </c>
      <c r="G280" s="107"/>
      <c r="H280" s="107"/>
      <c r="I280" s="47"/>
      <c r="J280" s="110"/>
    </row>
    <row r="281" spans="1:10" ht="37.5" x14ac:dyDescent="0.3">
      <c r="A281" s="96">
        <v>420000</v>
      </c>
      <c r="B281" s="39" t="s">
        <v>26</v>
      </c>
      <c r="C281" s="105">
        <v>81646.316999999995</v>
      </c>
      <c r="D281" s="105">
        <v>81646.316999999995</v>
      </c>
      <c r="E281" s="47">
        <f>SUM(D281-C281)</f>
        <v>0</v>
      </c>
      <c r="F281" s="110">
        <f>SUM(D281/C281*100)</f>
        <v>100</v>
      </c>
      <c r="G281" s="111"/>
      <c r="H281" s="111"/>
      <c r="I281" s="47"/>
      <c r="J281" s="110"/>
    </row>
    <row r="282" spans="1:10" ht="20.25" x14ac:dyDescent="0.3">
      <c r="A282" s="97">
        <v>500000</v>
      </c>
      <c r="B282" s="98" t="s">
        <v>265</v>
      </c>
      <c r="C282" s="104">
        <f>SUM(C283)</f>
        <v>9820.9889999999996</v>
      </c>
      <c r="D282" s="104">
        <f>SUM(D283)</f>
        <v>6630.2910000000002</v>
      </c>
      <c r="E282" s="29">
        <f>SUM(D282-C282)</f>
        <v>-3190.6979999999994</v>
      </c>
      <c r="F282" s="109">
        <f>SUM(D282/C282*100)</f>
        <v>67.5114390210599</v>
      </c>
      <c r="G282" s="107"/>
      <c r="H282" s="107"/>
      <c r="I282" s="47"/>
      <c r="J282" s="110"/>
    </row>
    <row r="283" spans="1:10" x14ac:dyDescent="0.3">
      <c r="A283" s="112">
        <v>510000</v>
      </c>
      <c r="B283" s="38" t="s">
        <v>266</v>
      </c>
      <c r="C283" s="106">
        <v>9820.9889999999996</v>
      </c>
      <c r="D283" s="106">
        <v>6630.2910000000002</v>
      </c>
      <c r="E283" s="47">
        <f>SUM(D283-C283)</f>
        <v>-3190.6979999999994</v>
      </c>
      <c r="F283" s="110">
        <f>SUM(D283/C283*100)</f>
        <v>67.5114390210599</v>
      </c>
      <c r="G283" s="111"/>
      <c r="H283" s="111"/>
      <c r="I283" s="47"/>
      <c r="J283" s="110"/>
    </row>
    <row r="284" spans="1:10" ht="20.25" x14ac:dyDescent="0.3">
      <c r="A284" s="113"/>
      <c r="B284" s="98" t="s">
        <v>264</v>
      </c>
      <c r="C284" s="107">
        <f>C277+C280+C282</f>
        <v>91467.305999999997</v>
      </c>
      <c r="D284" s="107">
        <f>D277+D280+D282</f>
        <v>165085.07599999997</v>
      </c>
      <c r="E284" s="29">
        <f>SUM(D284-C284)</f>
        <v>73617.769999999975</v>
      </c>
      <c r="F284" s="109">
        <f>SUM(D284/C284*100)</f>
        <v>180.48533756968854</v>
      </c>
      <c r="G284" s="111"/>
      <c r="H284" s="111"/>
      <c r="I284" s="111"/>
      <c r="J284" s="114"/>
    </row>
  </sheetData>
  <customSheetViews>
    <customSheetView guid="{CFD58EC5-F475-4F0C-8822-861C497EA100}" showPageBreaks="1" fitToPage="1" printArea="1" view="pageBreakPreview">
      <pane xSplit="2" ySplit="5" topLeftCell="C261" activePane="bottomRight" state="frozen"/>
      <selection pane="bottomRight" activeCell="C270" sqref="C270"/>
      <pageMargins left="0.19685039370078741" right="0.23622047244094491" top="0.19685039370078741" bottom="0.19685039370078741" header="0.15748031496062992" footer="0.15748031496062992"/>
      <pageSetup paperSize="9" scale="49" fitToHeight="12" orientation="landscape" verticalDpi="144" r:id="rId1"/>
      <headerFooter alignWithMargins="0"/>
    </customSheetView>
    <customSheetView guid="{68CBFC64-03A4-4F74-B34E-EE1DB915A668}" scale="85" showPageBreaks="1" fitToPage="1">
      <pane xSplit="2" ySplit="9" topLeftCell="E110" activePane="bottomRight" state="frozen"/>
      <selection pane="bottomRight" activeCell="N112" sqref="N112"/>
      <pageMargins left="0.19685039370078741" right="0.23622047244094491" top="0.19685039370078741" bottom="0.19685039370078741" header="0.15748031496062992" footer="0.15748031496062992"/>
      <pageSetup paperSize="9" scale="10" orientation="landscape" verticalDpi="144" r:id="rId2"/>
      <headerFooter alignWithMargins="0"/>
    </customSheetView>
    <customSheetView guid="{84AB9039-6109-4932-AA14-522BD4A30F0B}" scale="75" showPageBreaks="1" fitToPage="1">
      <pane xSplit="2" ySplit="9" topLeftCell="C145" activePane="bottomRight" state="frozen"/>
      <selection pane="bottomRight" activeCell="H145" sqref="H145"/>
      <pageMargins left="0.19685039370078741" right="0.23622047244094491" top="0.19685039370078741" bottom="0.19685039370078741" header="0.15748031496062992" footer="0.15748031496062992"/>
      <pageSetup paperSize="9" scale="47" fitToHeight="12" orientation="landscape" horizontalDpi="120" verticalDpi="144" r:id="rId3"/>
      <headerFooter alignWithMargins="0"/>
    </customSheetView>
    <customSheetView guid="{675C859F-867B-4E3E-8283-3B2C94BFA5E5}" scale="80" showPageBreaks="1" fitToPage="1">
      <pane xSplit="2" ySplit="9" topLeftCell="C193" activePane="bottomRight" state="frozen"/>
      <selection pane="bottomRight" activeCell="G197" sqref="G197"/>
      <pageMargins left="0.19685039370078741" right="0.23622047244094491" top="0.19685039370078741" bottom="0.19685039370078741" header="0.15748031496062992" footer="0.15748031496062992"/>
      <pageSetup paperSize="9" scale="47" fitToHeight="12" orientation="landscape" horizontalDpi="120" verticalDpi="144" r:id="rId4"/>
      <headerFooter alignWithMargins="0"/>
    </customSheetView>
    <customSheetView guid="{2C18B72E-FABC-405E-9989-871873679CB9}" scale="85" showPageBreaks="1" fitToPage="1">
      <pane xSplit="2" ySplit="9" topLeftCell="C144" activePane="bottomRight" state="frozen"/>
      <selection pane="bottomRight" activeCell="D145" sqref="D145"/>
      <pageMargins left="0.19685039370078741" right="0.23622047244094491" top="0.19685039370078741" bottom="0.19685039370078741" header="0.15748031496062992" footer="0.15748031496062992"/>
      <pageSetup paperSize="9" scale="47" fitToHeight="12" orientation="landscape" horizontalDpi="120" verticalDpi="144" r:id="rId5"/>
      <headerFooter alignWithMargins="0"/>
    </customSheetView>
    <customSheetView guid="{BC4BF63E-98F8-4CE0-B0DE-A2A71C291EFE}" scale="85" showPageBreaks="1">
      <pane xSplit="2" ySplit="9" topLeftCell="C285" activePane="bottomRight" state="frozen"/>
      <selection pane="bottomRight" activeCell="F298" sqref="F298"/>
      <pageMargins left="0.19685039370078741" right="0.23622047244094491" top="0.19685039370078741" bottom="0.19685039370078741" header="0.15748031496062992" footer="0.15748031496062992"/>
      <pageSetup paperSize="9" scale="45" fitToHeight="12" orientation="landscape" horizontalDpi="120" verticalDpi="144" r:id="rId6"/>
      <headerFooter alignWithMargins="0"/>
    </customSheetView>
    <customSheetView guid="{221AFC77-C97B-4D44-8163-7AA758A08BF9}" scale="71" showPageBreaks="1" fitToPage="1" printArea="1" showRuler="0">
      <pane ySplit="6" topLeftCell="A84" activePane="bottomLeft" state="frozen"/>
      <selection pane="bottomLeft" sqref="A1:XFD93"/>
      <pageMargins left="0.19685039370078741" right="0.23622047244094491" top="0.19685039370078741" bottom="0.19685039370078741" header="0.15748031496062992" footer="0.15748031496062992"/>
      <pageSetup paperSize="9" scale="48" fitToHeight="12" orientation="landscape" verticalDpi="144" r:id="rId7"/>
      <headerFooter alignWithMargins="0"/>
    </customSheetView>
    <customSheetView guid="{8DA01475-C6A0-4A19-B7EB-B1C704431492}" scale="70" showPageBreaks="1" fitToPage="1">
      <pane xSplit="2" ySplit="9" topLeftCell="C91" activePane="bottomRight" state="frozen"/>
      <selection pane="bottomRight" activeCell="A298" sqref="A298:J298"/>
      <pageMargins left="0.19685039370078741" right="0.23622047244094491" top="0.19685039370078741" bottom="0.19685039370078741" header="0.15748031496062992" footer="0.15748031496062992"/>
      <pageSetup paperSize="9" scale="28" fitToHeight="12" orientation="landscape" horizontalDpi="120" verticalDpi="144" r:id="rId8"/>
      <headerFooter alignWithMargins="0"/>
    </customSheetView>
    <customSheetView guid="{FA039D92-C83F-438E-BA9D-917452CA1B7F}" scale="85" showPageBreaks="1" fitToPage="1">
      <pane xSplit="2" ySplit="9" topLeftCell="C240" activePane="bottomRight"/>
      <selection pane="bottomRight" activeCell="E242" sqref="E242"/>
      <pageMargins left="0.19685039370078741" right="0.23622047244094491" top="0.19685039370078741" bottom="0.19685039370078741" header="0.15748031496062992" footer="0.15748031496062992"/>
      <pageSetup paperSize="9" scale="28" fitToHeight="12" orientation="landscape" horizontalDpi="120" verticalDpi="144" r:id="rId9"/>
      <headerFooter alignWithMargins="0"/>
    </customSheetView>
    <customSheetView guid="{9BFA17BE-4413-48EA-8DFA-9D7972E1D966}" scale="85" showPageBreaks="1">
      <pane xSplit="2" ySplit="9" topLeftCell="C274" activePane="bottomRight" state="frozen"/>
      <selection pane="bottomRight" activeCell="D281" sqref="D281"/>
      <pageMargins left="0.19685039370078741" right="0.23622047244094491" top="0.19685039370078741" bottom="0.19685039370078741" header="0.15748031496062992" footer="0.15748031496062992"/>
      <pageSetup paperSize="9" scale="55" fitToHeight="12" orientation="landscape" horizontalDpi="120" verticalDpi="144" r:id="rId10"/>
      <headerFooter alignWithMargins="0"/>
    </customSheetView>
    <customSheetView guid="{BE1C4A44-01B5-4ECE-8D55-C71095D37032}" scale="80" showPageBreaks="1" fitToPage="1">
      <pane xSplit="2" ySplit="9" topLeftCell="C118" activePane="bottomRight" state="frozen"/>
      <selection pane="bottomRight" activeCell="C120" sqref="C120"/>
      <pageMargins left="0.19685039370078741" right="0.23622047244094491" top="0.19685039370078741" bottom="0.19685039370078741" header="0.15748031496062992" footer="0.15748031496062992"/>
      <pageSetup paperSize="9" scale="29" fitToHeight="12" orientation="landscape" horizontalDpi="120" verticalDpi="144" r:id="rId11"/>
      <headerFooter alignWithMargins="0"/>
    </customSheetView>
    <customSheetView guid="{8FB1E024-9866-4CAD-B900-0CCFEA27B234}" scale="75" showPageBreaks="1" fitToPage="1" printArea="1" showRuler="0">
      <pane xSplit="2" ySplit="9" topLeftCell="C120" activePane="bottomRight" state="frozen"/>
      <selection pane="bottomRight" activeCell="H134" sqref="H134"/>
      <pageMargins left="0.19685039370078741" right="0.23622047244094491" top="0.19685039370078741" bottom="0.19685039370078741" header="0.15748031496062992" footer="0.15748031496062992"/>
      <pageSetup paperSize="9" scale="43" fitToHeight="12" orientation="landscape" verticalDpi="144" r:id="rId12"/>
      <headerFooter alignWithMargins="0"/>
    </customSheetView>
    <customSheetView guid="{868786DC-4C96-45F5-A272-3E03D4B934A0}" scale="58" showPageBreaks="1" fitToPage="1">
      <pane xSplit="2" ySplit="9" topLeftCell="C256" activePane="bottomRight" state="frozen"/>
      <selection pane="bottomRight" activeCell="G282" sqref="G282"/>
      <pageMargins left="0.19685039370078741" right="0.23622047244094491" top="0.19685039370078741" bottom="0.19685039370078741" header="0.15748031496062992" footer="0.15748031496062992"/>
      <pageSetup paperSize="9" scale="42" fitToHeight="12" orientation="landscape" horizontalDpi="120" verticalDpi="144" r:id="rId13"/>
      <headerFooter alignWithMargins="0"/>
    </customSheetView>
    <customSheetView guid="{A600D8D5-C13F-49F2-9D2C-FC8EA32AC551}" scale="90" showPageBreaks="1" view="pageBreakPreview">
      <pane xSplit="2" ySplit="7" topLeftCell="C263" activePane="bottomRight" state="frozen"/>
      <selection pane="bottomRight" activeCell="D264" sqref="D264"/>
      <pageMargins left="0.47244094488188981" right="0.23622047244094491" top="0.19685039370078741" bottom="0.19685039370078741" header="0.15748031496062992" footer="0.15748031496062992"/>
      <pageSetup paperSize="9" scale="47" fitToHeight="12" orientation="landscape" verticalDpi="144" r:id="rId14"/>
      <headerFooter differentFirst="1" alignWithMargins="0">
        <oddFooter>&amp;R&amp;P</oddFooter>
      </headerFooter>
    </customSheetView>
    <customSheetView guid="{471079C8-6E8B-4088-8968-A7D0C5B8653D}" scale="85" fitToPage="1">
      <pane xSplit="2" ySplit="9" topLeftCell="C174" activePane="bottomRight" state="frozen"/>
      <selection pane="bottomRight" activeCell="C182" sqref="C182"/>
      <pageMargins left="0.19685039370078741" right="0.23622047244094491" top="0.19685039370078741" bottom="0.19685039370078741" header="0.15748031496062992" footer="0.15748031496062992"/>
      <pageSetup paperSize="9" scale="44" fitToHeight="12" orientation="landscape" horizontalDpi="120" verticalDpi="144" r:id="rId15"/>
      <headerFooter alignWithMargins="0"/>
    </customSheetView>
    <customSheetView guid="{998E5F34-5F22-456C-AF6B-44B849DA5E75}" scale="70">
      <pane xSplit="2" ySplit="5" topLeftCell="F6" activePane="bottomRight" state="frozen"/>
      <selection pane="bottomRight" sqref="A1:J1"/>
      <pageMargins left="0.47244094488188981" right="0.23622047244094491" top="0.19685039370078741" bottom="0.19685039370078741" header="0.15748031496062992" footer="0.15748031496062992"/>
      <pageSetup paperSize="9" scale="48" fitToHeight="12" orientation="landscape" verticalDpi="144" r:id="rId16"/>
      <headerFooter alignWithMargins="0"/>
    </customSheetView>
    <customSheetView guid="{0EDC1FFF-2611-4DAC-98A8-22EC25025967}" scale="75" showPageBreaks="1" fitToPage="1">
      <pane xSplit="2" ySplit="9" topLeftCell="C240" activePane="bottomRight" state="frozen"/>
      <selection pane="bottomRight" activeCell="I240" sqref="I240:J250"/>
      <pageMargins left="0.19685039370078741" right="0.23622047244094491" top="0.19685039370078741" bottom="0.19685039370078741" header="0.15748031496062992" footer="0.15748031496062992"/>
      <pageSetup paperSize="9" scale="40" fitToHeight="12" orientation="landscape" horizontalDpi="120" verticalDpi="144" r:id="rId17"/>
      <headerFooter alignWithMargins="0"/>
    </customSheetView>
    <customSheetView guid="{F9D2B861-A6DF-4E58-9205-20667B07345D}" scale="85" fitToPage="1">
      <pane xSplit="2" ySplit="9" topLeftCell="C10" activePane="bottomRight" state="frozen"/>
      <selection pane="bottomRight" activeCell="A174" sqref="A174"/>
      <pageMargins left="0.19685039370078741" right="0.23622047244094491" top="0.19685039370078741" bottom="0.19685039370078741" header="0.15748031496062992" footer="0.15748031496062992"/>
      <pageSetup paperSize="9" scale="40" fitToHeight="12" orientation="landscape" horizontalDpi="120" verticalDpi="144" r:id="rId18"/>
      <headerFooter alignWithMargins="0"/>
    </customSheetView>
    <customSheetView guid="{33313D92-ACCC-472C-8066-C92558BED64F}" scale="65" showPageBreaks="1" fitToPage="1">
      <pane xSplit="2" ySplit="9" topLeftCell="C220" activePane="bottomRight" state="frozen"/>
      <selection pane="bottomRight" activeCell="C124" sqref="C124:F124"/>
      <pageMargins left="0.19685039370078741" right="0.23622047244094491" top="0.19685039370078741" bottom="0.19685039370078741" header="0.15748031496062992" footer="0.15748031496062992"/>
      <pageSetup paperSize="9" scale="40" fitToHeight="12" orientation="landscape" horizontalDpi="120" verticalDpi="144" r:id="rId19"/>
      <headerFooter alignWithMargins="0"/>
    </customSheetView>
    <customSheetView guid="{B5FF27E5-4C0E-4323-88CE-5D44F441DDEF}" scale="60" fitToPage="1">
      <pane xSplit="2" ySplit="9" topLeftCell="D65" activePane="bottomRight" state="frozen"/>
      <selection pane="bottomRight" activeCell="F101" sqref="F101"/>
      <pageMargins left="0.19685039370078741" right="0.23622047244094491" top="0.19685039370078741" bottom="0.19685039370078741" header="0.15748031496062992" footer="0.15748031496062992"/>
      <pageSetup paperSize="9" scale="40" fitToHeight="12" orientation="landscape" horizontalDpi="120" verticalDpi="144" r:id="rId20"/>
      <headerFooter alignWithMargins="0"/>
    </customSheetView>
    <customSheetView guid="{CC0A6F72-A956-4FF0-A9CF-B2F133844683}" scale="75" fitToPage="1" topLeftCell="A4">
      <pane xSplit="2" ySplit="1" topLeftCell="D247" activePane="bottomRight" state="frozen"/>
      <selection pane="bottomRight" activeCell="D263" sqref="D263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21"/>
      <headerFooter alignWithMargins="0"/>
    </customSheetView>
    <customSheetView guid="{2A0A5548-2EEF-4469-A03C-FA481083CE33}" scale="60" showPageBreaks="1" fitToPage="1" showRuler="0">
      <pane xSplit="2" ySplit="9" topLeftCell="C84" activePane="bottomRight" state="frozen"/>
      <selection pane="bottomRight" activeCell="D85" sqref="D85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22"/>
      <headerFooter alignWithMargins="0"/>
    </customSheetView>
    <customSheetView guid="{7EDDA008-F905-436E-A980-951BDACDA577}" scale="80" fitToPage="1">
      <pane xSplit="2" ySplit="9" topLeftCell="C10" activePane="bottomRight" state="frozen"/>
      <selection pane="bottomRight" activeCell="I19" sqref="I19"/>
      <pageMargins left="0.19685039370078741" right="0.23622047244094491" top="0.19685039370078741" bottom="0.19685039370078741" header="0.15748031496062992" footer="0.15748031496062992"/>
      <pageSetup paperSize="9" scale="50" fitToHeight="12" orientation="landscape" horizontalDpi="120" verticalDpi="144" r:id="rId23"/>
      <headerFooter alignWithMargins="0"/>
    </customSheetView>
    <customSheetView guid="{452C56A1-7A56-4ADE-A5CF-E260228787E3}" scale="75" showPageBreaks="1" fitToPage="1" printArea="1" view="pageBreakPreview" showRuler="0" topLeftCell="A6">
      <pane xSplit="2" ySplit="4" topLeftCell="J189" activePane="bottomRight" state="frozen"/>
      <selection pane="bottomRight" activeCell="A197" sqref="A197:J197"/>
      <pageMargins left="0.19685039370078741" right="0.23622047244094491" top="0.19685039370078741" bottom="0.19685039370078741" header="0.15748031496062992" footer="0.15748031496062992"/>
      <pageSetup paperSize="9" scale="53" fitToHeight="12" orientation="landscape" horizontalDpi="120" verticalDpi="144" r:id="rId24"/>
      <headerFooter alignWithMargins="0"/>
    </customSheetView>
    <customSheetView guid="{3B5575E9-696E-4E1F-8BBE-8483CF318052}" scale="75" fitToPage="1" printArea="1" showRuler="0">
      <pane xSplit="2" ySplit="9" topLeftCell="G49" activePane="bottomRight" state="frozen"/>
      <selection pane="bottomRight" activeCell="G52" sqref="G52"/>
      <pageMargins left="0.19685039370078741" right="0.23622047244094491" top="0.19685039370078741" bottom="0.19685039370078741" header="0.15748031496062992" footer="0.15748031496062992"/>
      <pageSetup paperSize="9" scale="58" fitToHeight="12" orientation="landscape" horizontalDpi="120" verticalDpi="144" r:id="rId25"/>
      <headerFooter alignWithMargins="0"/>
    </customSheetView>
    <customSheetView guid="{E147D13D-D04D-431E-888C-5A9AE670FC44}" scale="75" showPageBreaks="1" view="pageBreakPreview" showRuler="0" topLeftCell="A7">
      <pane xSplit="2" ySplit="10" topLeftCell="C140" activePane="bottomRight" state="frozen"/>
      <selection pane="bottomRight" activeCell="A145" sqref="A145"/>
      <pageMargins left="0.19685039370078741" right="0.23622047244094491" top="0.19685039370078741" bottom="0.19685039370078741" header="0.15748031496062992" footer="0.15748031496062992"/>
      <pageSetup paperSize="9" scale="59" orientation="landscape" horizontalDpi="120" verticalDpi="144" r:id="rId26"/>
      <headerFooter alignWithMargins="0"/>
    </customSheetView>
    <customSheetView guid="{795D5ECF-BF90-4F3E-A74E-B1A55C8421F2}" scale="75" fitToPage="1">
      <pane xSplit="2" ySplit="9" topLeftCell="C65" activePane="bottomRight" state="frozen"/>
      <selection pane="bottomRight" activeCell="B83" sqref="B83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27"/>
      <headerFooter alignWithMargins="0"/>
    </customSheetView>
    <customSheetView guid="{5EEB5DC5-097B-47D6-81BA-F19E1000B57E}" scale="75" fitToPage="1" printArea="1" showRuler="0">
      <pane xSplit="2" ySplit="9" topLeftCell="C131" activePane="bottomRight" state="frozen"/>
      <selection pane="bottomRight" activeCell="G189" sqref="G189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28"/>
      <headerFooter alignWithMargins="0"/>
    </customSheetView>
    <customSheetView guid="{839A87F2-F73A-45C5-ADB8-392A99CC1EFF}" scale="85" fitToPage="1">
      <pane xSplit="2" ySplit="4" topLeftCell="C286" activePane="bottomRight" state="frozen"/>
      <selection pane="bottomRight" activeCell="L291" sqref="L291"/>
      <pageMargins left="0.19685039370078741" right="0.23622047244094491" top="0.19685039370078741" bottom="0.19685039370078741" header="0.15748031496062992" footer="0.15748031496062992"/>
      <pageSetup paperSize="9" scale="48" fitToHeight="12" orientation="landscape" horizontalDpi="120" verticalDpi="144" r:id="rId29"/>
      <headerFooter alignWithMargins="0"/>
    </customSheetView>
    <customSheetView guid="{72EDDA2C-BFF2-4D48-A13B-2B9C46213374}" scale="75" fitToPage="1">
      <pane xSplit="2" ySplit="9" topLeftCell="D242" activePane="bottomRight" state="frozen"/>
      <selection pane="bottomRight" activeCell="H241" sqref="H241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30"/>
      <headerFooter alignWithMargins="0"/>
    </customSheetView>
    <customSheetView guid="{B0CF427B-E64B-46A6-97A4-9B49090FE4BE}" scale="85" fitToPage="1">
      <pane xSplit="2" ySplit="9" topLeftCell="C130" activePane="bottomRight" state="frozen"/>
      <selection pane="bottomRight" activeCell="A133" sqref="A133:IV133"/>
      <pageMargins left="0.19685039370078741" right="0.23622047244094491" top="0.19685039370078741" bottom="0.19685039370078741" header="0.15748031496062992" footer="0.15748031496062992"/>
      <pageSetup paperSize="9" scale="29" fitToHeight="12" orientation="landscape" horizontalDpi="120" verticalDpi="144" r:id="rId31"/>
      <headerFooter alignWithMargins="0"/>
    </customSheetView>
    <customSheetView guid="{8112C56A-816E-41B5-AC5C-5C34336EE27C}" scale="85" fitToPage="1">
      <pane xSplit="2" ySplit="9" topLeftCell="F215" activePane="bottomRight" state="frozen"/>
      <selection pane="bottomRight" activeCell="H220" sqref="H220"/>
      <pageMargins left="0.19685039370078741" right="0.23622047244094491" top="0.19685039370078741" bottom="0.19685039370078741" header="0.15748031496062992" footer="0.15748031496062992"/>
      <pageSetup paperSize="9" scale="44" fitToHeight="12" orientation="landscape" horizontalDpi="120" verticalDpi="144" r:id="rId32"/>
      <headerFooter alignWithMargins="0"/>
    </customSheetView>
    <customSheetView guid="{90518B97-7307-4173-A97E-975285B914B1}" scale="75" showPageBreaks="1" topLeftCell="A115">
      <selection activeCell="C120" sqref="C120"/>
      <pageMargins left="0.47244094488188981" right="0.23622047244094491" top="0.19685039370078741" bottom="0.19685039370078741" header="0.15748031496062992" footer="0.15748031496062992"/>
      <pageSetup paperSize="9" scale="48" fitToHeight="12" orientation="landscape" verticalDpi="144" r:id="rId33"/>
      <headerFooter differentFirst="1" alignWithMargins="0">
        <oddFooter>&amp;R&amp;P</oddFooter>
      </headerFooter>
    </customSheetView>
    <customSheetView guid="{F9324F9E-6E0D-484A-B1A6-F87CCAA93894}" scale="90" fitToPage="1">
      <pane xSplit="2" ySplit="9" topLeftCell="C121" activePane="bottomRight" state="frozen"/>
      <selection pane="bottomRight" activeCell="G323" sqref="G323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34"/>
      <headerFooter alignWithMargins="0"/>
    </customSheetView>
    <customSheetView guid="{713A662A-DFDD-43FB-A56E-1E210432D89D}" scale="85" fitToPage="1">
      <pane xSplit="2" ySplit="9" topLeftCell="C104" activePane="bottomRight" state="frozen"/>
      <selection pane="bottomRight" activeCell="C117" sqref="C117:C118"/>
      <pageMargins left="0.19685039370078741" right="0.23622047244094491" top="0.19685039370078741" bottom="0.19685039370078741" header="0.15748031496062992" footer="0.15748031496062992"/>
      <pageSetup paperSize="9" scale="36" fitToHeight="12" orientation="landscape" horizontalDpi="120" verticalDpi="144" r:id="rId35"/>
      <headerFooter alignWithMargins="0"/>
    </customSheetView>
    <customSheetView guid="{1BDFBE17-25BB-4BB9-B67F-4757B39B2D64}" scale="70" showPageBreaks="1" fitToPage="1" hiddenRows="1">
      <pane xSplit="2" ySplit="9" topLeftCell="C70" activePane="bottomRight" state="frozen"/>
      <selection pane="bottomRight" activeCell="B70" sqref="B70"/>
      <pageMargins left="0.19685039370078741" right="0.23622047244094491" top="0.19685039370078741" bottom="0.19685039370078741" header="0.15748031496062992" footer="0.15748031496062992"/>
      <pageSetup paperSize="9" scale="20" fitToHeight="12" orientation="landscape" verticalDpi="144" r:id="rId36"/>
      <headerFooter alignWithMargins="0"/>
    </customSheetView>
    <customSheetView guid="{3824CD03-2F75-4531-8348-997F8B6518CE}" scale="85" fitToPage="1">
      <pane xSplit="2" ySplit="9" topLeftCell="C194" activePane="bottomRight" state="frozen"/>
      <selection pane="bottomRight" activeCell="E200" sqref="E200"/>
      <pageMargins left="0.19685039370078741" right="0.23622047244094491" top="0.19685039370078741" bottom="0.19685039370078741" header="0.15748031496062992" footer="0.15748031496062992"/>
      <pageSetup paperSize="9" scale="36" fitToHeight="12" orientation="landscape" horizontalDpi="120" verticalDpi="144" r:id="rId37"/>
      <headerFooter alignWithMargins="0"/>
    </customSheetView>
    <customSheetView guid="{B09841F2-D07A-4B31-A395-000C1A63FF41}" scale="75" showPageBreaks="1" fitToPage="1" printArea="1" showRuler="0">
      <pane xSplit="2" ySplit="9" topLeftCell="C37" activePane="bottomRight" state="frozen"/>
      <selection pane="bottomRight" activeCell="C45" sqref="C45"/>
      <pageMargins left="0.19685039370078741" right="0.19685039370078741" top="0.19685039370078741" bottom="0.19685039370078741" header="0.15748031496062992" footer="0.15748031496062992"/>
      <pageSetup paperSize="9" scale="48" fitToHeight="14" orientation="landscape" verticalDpi="144" r:id="rId38"/>
      <headerFooter alignWithMargins="0"/>
    </customSheetView>
    <customSheetView guid="{D0621073-25BE-47D7-AC33-51146458D41C}" scale="85" showPageBreaks="1" fitToPage="1">
      <pane xSplit="2" ySplit="9" topLeftCell="C207" activePane="bottomRight" state="frozen"/>
      <selection pane="bottomRight" activeCell="B219" sqref="B219"/>
      <pageMargins left="0.19685039370078741" right="0.23622047244094491" top="0.19685039370078741" bottom="0.19685039370078741" header="0.15748031496062992" footer="0.15748031496062992"/>
      <pageSetup paperSize="9" scale="13" fitToHeight="12" orientation="landscape" horizontalDpi="120" verticalDpi="144" r:id="rId39"/>
      <headerFooter alignWithMargins="0"/>
    </customSheetView>
    <customSheetView guid="{CFB0A04F-563D-4D2B-BCD3-ACFCDC70E584}" scale="85" showPageBreaks="1" fitToPage="1" hiddenRows="1">
      <pane xSplit="2" ySplit="116" topLeftCell="C118" activePane="bottomRight" state="frozen"/>
      <selection pane="bottomRight" activeCell="H127" sqref="H127"/>
      <pageMargins left="0.19685039370078741" right="0.23622047244094491" top="0.19685039370078741" bottom="0.19685039370078741" header="0.15748031496062992" footer="0.15748031496062992"/>
      <pageSetup paperSize="9" scale="47" fitToHeight="12" orientation="landscape" horizontalDpi="120" verticalDpi="144" r:id="rId40"/>
      <headerFooter alignWithMargins="0"/>
    </customSheetView>
    <customSheetView guid="{EF32CA8F-131B-41F0-AA31-167807ADE2D4}" scale="85" showPageBreaks="1" fitToPage="1">
      <pane xSplit="2" ySplit="9" topLeftCell="C178" activePane="bottomRight" state="frozen"/>
      <selection pane="bottomRight" activeCell="D178" sqref="D178"/>
      <pageMargins left="0.19685039370078741" right="0.23622047244094491" top="0.19685039370078741" bottom="0.19685039370078741" header="0.15748031496062992" footer="0.15748031496062992"/>
      <pageSetup paperSize="9" scale="47" fitToHeight="12" orientation="landscape" horizontalDpi="120" verticalDpi="144" r:id="rId41"/>
      <headerFooter alignWithMargins="0"/>
    </customSheetView>
    <customSheetView guid="{06B33669-D909-4CD8-806F-33C009B9DF0A}" scale="75" showPageBreaks="1" fitToPage="1" printArea="1" topLeftCell="A5">
      <pane xSplit="2" ySplit="5" topLeftCell="C223" activePane="bottomRight" state="frozen"/>
      <selection pane="bottomRight" activeCell="J241" sqref="J241"/>
      <pageMargins left="0.19685039370078741" right="0.19685039370078741" top="1.1811023622047245" bottom="0.39370078740157483" header="0.15748031496062992" footer="0.15748031496062992"/>
      <printOptions horizontalCentered="1"/>
      <pageSetup paperSize="9" scale="47" fitToHeight="12" orientation="landscape" verticalDpi="144" r:id="rId42"/>
      <headerFooter alignWithMargins="0"/>
    </customSheetView>
    <customSheetView guid="{95A7493F-2B11-406A-BB91-458FD9DC3BAE}" scale="75" showPageBreaks="1" fitToPage="1" printArea="1" showRuler="0">
      <pane xSplit="2" ySplit="9" topLeftCell="C109" activePane="bottomRight" state="frozen"/>
      <selection pane="bottomRight" activeCell="C100" sqref="C100"/>
      <pageMargins left="0.19685039370078741" right="0.19685039370078741" top="0.19685039370078741" bottom="0.19685039370078741" header="0.15748031496062992" footer="0.15748031496062992"/>
      <pageSetup paperSize="9" scale="47" fitToHeight="14" orientation="landscape" verticalDpi="144" r:id="rId43"/>
      <headerFooter alignWithMargins="0"/>
    </customSheetView>
    <customSheetView guid="{0CBA335B-0DD8-471B-913E-91954D8A7DE8}" scale="85" showPageBreaks="1" fitToPage="1">
      <selection activeCell="F10" sqref="F10"/>
      <pageMargins left="0.19685039370078741" right="0.23622047244094491" top="0.19685039370078741" bottom="0.19685039370078741" header="0.15748031496062992" footer="0.15748031496062992"/>
      <pageSetup paperSize="9" scale="49" fitToHeight="12" orientation="landscape" horizontalDpi="120" verticalDpi="144" r:id="rId44"/>
      <headerFooter alignWithMargins="0"/>
    </customSheetView>
    <customSheetView guid="{966D3932-E429-4C59-AC55-697D9EEA620A}" scale="65" showPageBreaks="1" fitToPage="1" printArea="1" showAutoFilter="1" view="pageBreakPreview">
      <pane xSplit="2" ySplit="7" topLeftCell="C8" activePane="bottomRight" state="frozen"/>
      <selection pane="bottomRight" activeCell="J203" sqref="J203"/>
      <pageMargins left="0.19685039370078741" right="0.23622047244094491" top="0.19685039370078741" bottom="0.19685039370078741" header="0.15748031496062992" footer="0.15748031496062992"/>
      <pageSetup paperSize="9" scale="49" fitToHeight="12" orientation="landscape" verticalDpi="144" r:id="rId45"/>
      <headerFooter alignWithMargins="0"/>
      <autoFilter ref="A6:AG284" xr:uid="{844A676F-324A-4FC3-B9D7-FEBA7E8F9ECF}"/>
    </customSheetView>
  </customSheetViews>
  <mergeCells count="10">
    <mergeCell ref="A276:B276"/>
    <mergeCell ref="A279:B279"/>
    <mergeCell ref="A274:J274"/>
    <mergeCell ref="A116:J116"/>
    <mergeCell ref="A2:J2"/>
    <mergeCell ref="C4:F4"/>
    <mergeCell ref="G4:J4"/>
    <mergeCell ref="A4:A5"/>
    <mergeCell ref="B4:B5"/>
    <mergeCell ref="A7:J7"/>
  </mergeCells>
  <phoneticPr fontId="1" type="noConversion"/>
  <pageMargins left="0.19685039370078741" right="0.23622047244094491" top="0.19685039370078741" bottom="0.19685039370078741" header="0.15748031496062992" footer="0.15748031496062992"/>
  <pageSetup paperSize="9" scale="49" fitToHeight="12" orientation="landscape" verticalDpi="144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загальне</vt:lpstr>
      <vt:lpstr>загальне!Заголовки_для_печати</vt:lpstr>
      <vt:lpstr>загальне!Область_печати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2025-02-13T11:51:51Z</cp:lastPrinted>
  <dcterms:created xsi:type="dcterms:W3CDTF">2001-02-08T10:51:36Z</dcterms:created>
  <dcterms:modified xsi:type="dcterms:W3CDTF">2025-09-17T11:18:39Z</dcterms:modified>
</cp:coreProperties>
</file>