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2 Сайт Департаменту фінансів\Бюджет міста\Динаміка змін\"/>
    </mc:Choice>
  </mc:AlternateContent>
  <xr:revisionPtr revIDLastSave="0" documentId="13_ncr:1_{3AFDB500-26C3-4B7A-9DC8-41DF30B44012}" xr6:coauthVersionLast="47" xr6:coauthVersionMax="47" xr10:uidLastSave="{00000000-0000-0000-0000-000000000000}"/>
  <bookViews>
    <workbookView xWindow="-120" yWindow="-120" windowWidth="29040" windowHeight="15840" xr2:uid="{00000000-000D-0000-FFFF-FFFF00000000}"/>
  </bookViews>
  <sheets>
    <sheet name="загальне" sheetId="1" r:id="rId1"/>
  </sheets>
  <definedNames>
    <definedName name="_xlnm._FilterDatabase" localSheetId="0" hidden="1">загальне!$A$6:$Z$301</definedName>
    <definedName name="Z_005F280F_9A8C_4D61_A462_F589D592D290_.wvu.FilterData" localSheetId="0" hidden="1">загальне!$A$6:$J$301</definedName>
    <definedName name="Z_027FE178_1172_4222_AF5C_23D964AF488A_.wvu.FilterData" localSheetId="0" hidden="1">загальне!$A$4:$J$6</definedName>
    <definedName name="Z_0344C8F5_CCC1_4DA4_B4BA_9CEFB0A093F3_.wvu.FilterData" localSheetId="0" hidden="1">загальне!$A$6:$J$301</definedName>
    <definedName name="Z_0419BBFE_F3CF_4518_8D24_82FEA8B7DDD6_.wvu.FilterData" localSheetId="0" hidden="1">загальне!$A$6:$J$449</definedName>
    <definedName name="Z_06B1F1AE_9936_453D_B440_89FD7733A859_.wvu.FilterData" localSheetId="0" hidden="1">загальне!$A$6:$J$347</definedName>
    <definedName name="Z_06B33669_D909_4CD8_806F_33C009B9DF0A_.wvu.FilterData" localSheetId="0" hidden="1">загальне!$A$6:$BZ$301</definedName>
    <definedName name="Z_06B33669_D909_4CD8_806F_33C009B9DF0A_.wvu.PrintArea" localSheetId="0" hidden="1">загальне!$A$1:$J$301</definedName>
    <definedName name="Z_06B33669_D909_4CD8_806F_33C009B9DF0A_.wvu.PrintTitles" localSheetId="0" hidden="1">загальне!$6:$6</definedName>
    <definedName name="Z_08491732_1BAF_49CD_8956_D3E9C2B85304_.wvu.FilterData" localSheetId="0" hidden="1">загальне!$A$6:$J$301</definedName>
    <definedName name="Z_09F33DD9_E062_4B93_90BA_A6E8876D9E62_.wvu.FilterData" localSheetId="0" hidden="1">загальне!$A$4:$J$6</definedName>
    <definedName name="Z_0B19D168_858D_4BCF_80E5_C18DD77CBE9F_.wvu.FilterData" localSheetId="0" hidden="1">загальне!$A$4:$J$6</definedName>
    <definedName name="Z_0BDDB9FE_C07B_4E21_8514_F3881AE78CD6_.wvu.FilterData" localSheetId="0" hidden="1">загальне!$A$6:$J$301</definedName>
    <definedName name="Z_0C71E80D_0254_4693_A8EC_34A4BD1A6F73_.wvu.FilterData" localSheetId="0" hidden="1">загальне!$A$4:$J$6</definedName>
    <definedName name="Z_0CBA335B_0DD8_471B_913E_91954D8A7DE8_.wvu.FilterData" localSheetId="0" hidden="1">загальне!$A$6:$BZ$301</definedName>
    <definedName name="Z_0EDC1FFF_2611_4DAC_98A8_22EC25025967_.wvu.FilterData" localSheetId="0" hidden="1">загальне!$A$6:$J$347</definedName>
    <definedName name="Z_0F954C44_2E2C_4880_A030_4864EA711FE0_.wvu.FilterData" localSheetId="0" hidden="1">загальне!$A$6:$J$449</definedName>
    <definedName name="Z_110BDF82_DEEB_4DFF_93DC_10599C38B57F_.wvu.FilterData" localSheetId="0" hidden="1">загальне!$A$6:$J$301</definedName>
    <definedName name="Z_127A86E4_7224_417D_A193_D2D119406FD2_.wvu.FilterData" localSheetId="0" hidden="1">загальне!$A$6:$BZ$301</definedName>
    <definedName name="Z_14E09D51_8F19_4EA1_A30C_7EBF12BE62FB_.wvu.FilterData" localSheetId="0" hidden="1">загальне!$A$6:$BZ$301</definedName>
    <definedName name="Z_16D4F077_2EAE_4B98_A742_A1CD9A7B633C_.wvu.FilterData" localSheetId="0" hidden="1">загальне!$A$6:$J$347</definedName>
    <definedName name="Z_1748D69A_4DB3_487A_8AD7_C0B3B71D3FB6_.wvu.FilterData" localSheetId="0" hidden="1">загальне!$A$4:$J$6</definedName>
    <definedName name="Z_1862B7E4_4060_4370_88AF_4829C34881B7_.wvu.FilterData" localSheetId="0" hidden="1">загальне!$A$6:$J$449</definedName>
    <definedName name="Z_194CC79D_B426_45A9_B4B4_0D8713FDEBCE_.wvu.FilterData" localSheetId="0" hidden="1">загальне!$A$6:$J$301</definedName>
    <definedName name="Z_1BA267BF_F5D4_4EB6_B077_27E074A28B2C_.wvu.FilterData" localSheetId="0" hidden="1">загальне!$A$6:$J$449</definedName>
    <definedName name="Z_1BDFBE17_25BB_4BB9_B67F_4757B39B2D64_.wvu.FilterData" localSheetId="0" hidden="1">загальне!$A$6:$J$301</definedName>
    <definedName name="Z_1BDFBE17_25BB_4BB9_B67F_4757B39B2D64_.wvu.Rows" localSheetId="0" hidden="1">загальне!#REF!</definedName>
    <definedName name="Z_1C8F884C_4E0C_4BA5_927B_31106C5BC843_.wvu.FilterData" localSheetId="0" hidden="1">загальне!$A$6:$BZ$301</definedName>
    <definedName name="Z_1D3F5B87_83EB_4F94_9B50_0C99177D99F9_.wvu.FilterData" localSheetId="0" hidden="1">загальне!$A$6:$J$301</definedName>
    <definedName name="Z_1E3BB7AF_B756_4A0C_A2BE_D723B28D252A_.wvu.FilterData" localSheetId="0" hidden="1">загальне!$A$6:$J$347</definedName>
    <definedName name="Z_1FC076B5_9648_483F_BBEB_68BAECB9E209_.wvu.FilterData" localSheetId="0" hidden="1">загальне!$A$6:$J$301</definedName>
    <definedName name="Z_2021983A_3D6E_4804_9038_C33FE9EA644F_.wvu.FilterData" localSheetId="0" hidden="1">загальне!$A$6:$J$347</definedName>
    <definedName name="Z_2140268D_DEA7_466F_AE25_EAEFFE2D0081_.wvu.FilterData" localSheetId="0" hidden="1">загальне!$A$4:$J$6</definedName>
    <definedName name="Z_21651801_29AF_44DA_B88B_12DD75943577_.wvu.FilterData" localSheetId="0" hidden="1">загальне!$A$6:$J$347</definedName>
    <definedName name="Z_221AFC77_C97B_4D44_8163_7AA758A08BF9_.wvu.FilterData" localSheetId="0" hidden="1">загальне!$A$6:$J$301</definedName>
    <definedName name="Z_221AFC77_C97B_4D44_8163_7AA758A08BF9_.wvu.PrintArea" localSheetId="0" hidden="1">загальне!$A$2:$J$286</definedName>
    <definedName name="Z_221AFC77_C97B_4D44_8163_7AA758A08BF9_.wvu.PrintTitles" localSheetId="0" hidden="1">загальне!$6:$6</definedName>
    <definedName name="Z_23143807_1CCE_467D_8F79_FB088A4A08A4_.wvu.FilterData" localSheetId="0" hidden="1">загальне!$A$6:$J$449</definedName>
    <definedName name="Z_24E8AEAA_06F7_460E_9064_DAA742C6F748_.wvu.FilterData" localSheetId="0" hidden="1">загальне!$A$6:$J$301</definedName>
    <definedName name="Z_24F3E475_1A82_464A_A2B9_6272C75DE965_.wvu.FilterData" localSheetId="0" hidden="1">загальне!$A$6:$J$449</definedName>
    <definedName name="Z_2581A59B_D92D_4D76_A37D_66D6DDC579C8_.wvu.FilterData" localSheetId="0" hidden="1">загальне!$A$6:$BZ$301</definedName>
    <definedName name="Z_258565C2_6F7E_47DA_A97D_5DEA70489C65_.wvu.FilterData" localSheetId="0" hidden="1">загальне!$A$6:$J$301</definedName>
    <definedName name="Z_2627E621_2724_4458_A97A_DA4867CC78C7_.wvu.FilterData" localSheetId="0" hidden="1">загальне!$A$6:$J$301</definedName>
    <definedName name="Z_26302507_6225_4D5F_830E_9C0EA681B1F9_.wvu.FilterData" localSheetId="0" hidden="1">загальне!$A$6:$J$449</definedName>
    <definedName name="Z_2A0A5548_2EEF_4469_A03C_FA481083CE33_.wvu.FilterData" localSheetId="0" hidden="1">загальне!$A$6:$J$347</definedName>
    <definedName name="Z_2A0F7507_0A42_453D_A355_76CAEA9B66E7_.wvu.FilterData" localSheetId="0" hidden="1">загальне!$A$6:$BZ$301</definedName>
    <definedName name="Z_2A4C0749_63B0_4D48_8771_593E99B870CF_.wvu.FilterData" localSheetId="0" hidden="1">загальне!$A$6:$J$347</definedName>
    <definedName name="Z_2A873CA7_D1CE_4F50_B607_3E6930776CDE_.wvu.FilterData" localSheetId="0" hidden="1">загальне!$A$6:$J$301</definedName>
    <definedName name="Z_2B716970_0AE9_4529_8009_3AC0E7738E74_.wvu.FilterData" localSheetId="0" hidden="1">загальне!$A$6:$J$301</definedName>
    <definedName name="Z_2C16AC7D_1F05_4386_90A0_A2DA4836DDE1_.wvu.FilterData" localSheetId="0" hidden="1">загальне!$A$6:$J$301</definedName>
    <definedName name="Z_2C18B72E_FABC_405E_9989_871873679CB9_.wvu.FilterData" localSheetId="0" hidden="1">загальне!$A$6:$BZ$301</definedName>
    <definedName name="Z_2D1F835C_2905_49B2_ACB0_6B5DC39ABF77_.wvu.FilterData" localSheetId="0" hidden="1">загальне!$A$6:$J$449</definedName>
    <definedName name="Z_2DB33E37_AA0F_4B4B_B7C9_A11BA792B878_.wvu.FilterData" localSheetId="0" hidden="1">загальне!$A$4:$J$6</definedName>
    <definedName name="Z_2E403391_C63C_4844_B760_535E5B14235D_.wvu.FilterData" localSheetId="0" hidden="1">загальне!$A$6:$J$301</definedName>
    <definedName name="Z_2EA6131F_89B6_4FC5_8D3F_2E657C0F9729_.wvu.FilterData" localSheetId="0" hidden="1">загальне!$A$6:$J$301</definedName>
    <definedName name="Z_3054E370_5DE4_4F07_9AEC_8E1396CAD8D6_.wvu.FilterData" localSheetId="0" hidden="1">загальне!$A$6:$J$347</definedName>
    <definedName name="Z_30EAEA67_9656_4874_9B82_0AE83C45AB26_.wvu.FilterData" localSheetId="0" hidden="1">загальне!$A$6:$J$347</definedName>
    <definedName name="Z_315252D1_A60E_4446_B1ED_7AE241C4BB71_.wvu.FilterData" localSheetId="0" hidden="1">загальне!$A$6:$J$347</definedName>
    <definedName name="Z_322077ED_714E_4730_9121_953073B8C43F_.wvu.FilterData" localSheetId="0" hidden="1">загальне!$A$6:$J$300</definedName>
    <definedName name="Z_328CDE5C_E0E2_44CE_B73A_F70E81E6C6B2_.wvu.FilterData" localSheetId="0" hidden="1">загальне!$A$6:$J$301</definedName>
    <definedName name="Z_33313D92_ACCC_472C_8066_C92558BED64F_.wvu.FilterData" localSheetId="0" hidden="1">загальне!$A$6:$J$347</definedName>
    <definedName name="Z_33FCD28F_F474_4478_8228_BBE6129DFD33_.wvu.FilterData" localSheetId="0" hidden="1">загальне!$A$6:$J$347</definedName>
    <definedName name="Z_36602011_6F80_4B7E_9881_FDB5866DE132_.wvu.FilterData" localSheetId="0" hidden="1">загальне!$A$6:$J$449</definedName>
    <definedName name="Z_3669D157_84D7_4518_A2FA_05770F414005_.wvu.FilterData" localSheetId="0" hidden="1">загальне!$A$6:$J$301</definedName>
    <definedName name="Z_3824CD03_2F75_4531_8348_997F8B6518CE_.wvu.FilterData" localSheetId="0" hidden="1">загальне!$A$6:$J$301</definedName>
    <definedName name="Z_3882A51E_FD17_4C10_93F2_F0C9B03BC730_.wvu.FilterData" localSheetId="0" hidden="1">загальне!$A$6:$J$301</definedName>
    <definedName name="Z_39B9868C_0524_4A04_B50B_22CB89138F2C_.wvu.FilterData" localSheetId="0" hidden="1">загальне!$A$6:$J$301</definedName>
    <definedName name="Z_3A3D386F_BF44_4CDF_AECB_A030233CF3BE_.wvu.FilterData" localSheetId="0" hidden="1">загальне!$A$6:$J$449</definedName>
    <definedName name="Z_3A5AB62D_FD5B_46FC_A5C8_48D316ED75AE_.wvu.FilterData" localSheetId="0" hidden="1">загальне!$A$6:$J$301</definedName>
    <definedName name="Z_3B5575E9_696E_4E1F_8BBE_8483CF318052_.wvu.FilterData" localSheetId="0" hidden="1">загальне!$A$4:$J$6</definedName>
    <definedName name="Z_3B5575E9_696E_4E1F_8BBE_8483CF318052_.wvu.PrintArea" localSheetId="0" hidden="1">загальне!$A$2:$J$286</definedName>
    <definedName name="Z_3B5575E9_696E_4E1F_8BBE_8483CF318052_.wvu.PrintTitles" localSheetId="0" hidden="1">загальне!$6:$6</definedName>
    <definedName name="Z_3F669C1C_24D3_4C3D_9A16_6C0219D100D3_.wvu.FilterData" localSheetId="0" hidden="1">загальне!$A$4:$J$6</definedName>
    <definedName name="Z_40E0D498_E2F0_4E4C_AD04_0CCBD88738E3_.wvu.FilterData" localSheetId="0" hidden="1">загальне!$A$6:$J$301</definedName>
    <definedName name="Z_40F66B3F_B1A0_4660_B7EC_2C8F1BD66B34_.wvu.FilterData" localSheetId="0" hidden="1">загальне!$A$6:$J$347</definedName>
    <definedName name="Z_429899D9_5B00_46A4_8670_9042E5D6B3B9_.wvu.FilterData" localSheetId="0" hidden="1">загальне!$A$6:$J$347</definedName>
    <definedName name="Z_429AA136_6142_4A99_977B_8067300179C4_.wvu.FilterData" localSheetId="0" hidden="1">загальне!$A$6:$J$347</definedName>
    <definedName name="Z_43369FCC_2CCA_4665_99C7_275B440DE937_.wvu.FilterData" localSheetId="0" hidden="1">загальне!$A$6:$J$301</definedName>
    <definedName name="Z_452C56A1_7A56_4ADE_A5CF_E260228787E3_.wvu.FilterData" localSheetId="0" hidden="1">загальне!$A$4:$J$6</definedName>
    <definedName name="Z_452C56A1_7A56_4ADE_A5CF_E260228787E3_.wvu.PrintArea" localSheetId="0" hidden="1">загальне!$A$2:$J$286</definedName>
    <definedName name="Z_452C56A1_7A56_4ADE_A5CF_E260228787E3_.wvu.PrintTitles" localSheetId="0" hidden="1">загальне!$6:$6</definedName>
    <definedName name="Z_471079C8_6E8B_4088_8968_A7D0C5B8653D_.wvu.FilterData" localSheetId="0" hidden="1">загальне!$A$6:$J$449</definedName>
    <definedName name="Z_47250A82_9F08_48A3_99F5_B1354F557BF5_.wvu.FilterData" localSheetId="0" hidden="1">загальне!$A$6:$J$301</definedName>
    <definedName name="Z_48783A06_63D3_427A_A6E9_9592F9D916F6_.wvu.FilterData" localSheetId="0" hidden="1">загальне!$A$6:$J$301</definedName>
    <definedName name="Z_4910244A_FD97_43F8_8121_7A39DEE7F6C3_.wvu.FilterData" localSheetId="0" hidden="1">загальне!$A$6:$J$301</definedName>
    <definedName name="Z_495617EB_A9DC_44E1_A455_3D0079645590_.wvu.FilterData" localSheetId="0" hidden="1">загальне!$A$6:$J$347</definedName>
    <definedName name="Z_4BC9F541_1AEB_4DA7_A0F9_3F6DB8D4E82B_.wvu.FilterData" localSheetId="0" hidden="1">загальне!$A$6:$J$301</definedName>
    <definedName name="Z_4C9A721B_C5BE_4E52_A18E_0730E1D3B8FE_.wvu.FilterData" localSheetId="0" hidden="1">загальне!$A$6:$J$347</definedName>
    <definedName name="Z_4CD9C922_19B5_419E_BD84_E209894B16C0_.wvu.FilterData" localSheetId="0" hidden="1">загальне!$A$6:$J$347</definedName>
    <definedName name="Z_4EF5F217_FB2B_4DCF_85B0_3019877DD0D7_.wvu.FilterData" localSheetId="0" hidden="1">загальне!$A$6:$J$301</definedName>
    <definedName name="Z_5034BBC8_21D9_4269_8413_6C2CC06530C6_.wvu.FilterData" localSheetId="0" hidden="1">загальне!$A$6:$J$301</definedName>
    <definedName name="Z_505D733E_455F_46B4_ACCC_4F218E555D81_.wvu.FilterData" localSheetId="0" hidden="1">загальне!$A$6:$J$449</definedName>
    <definedName name="Z_5152B790_6528_48A7_ACFA_991FA35A233D_.wvu.FilterData" localSheetId="0" hidden="1">загальне!$A$6:$J$301</definedName>
    <definedName name="Z_527D5B17_7578_4A0E_8233_A8DD6DE458C2_.wvu.FilterData" localSheetId="0" hidden="1">загальне!$A$6:$J$347</definedName>
    <definedName name="Z_53234816_0120_4392_94AB_599CEA5C30B9_.wvu.FilterData" localSheetId="0" hidden="1">загальне!$A$6:$J$449</definedName>
    <definedName name="Z_539DC597_2EA3_49F9_B009_0E68991AFE62_.wvu.FilterData" localSheetId="0" hidden="1">загальне!$A$6:$BZ$301</definedName>
    <definedName name="Z_5512C256_B576_4E26_8E01_289925B9D9C4_.wvu.FilterData" localSheetId="0" hidden="1">загальне!$A$4:$J$6</definedName>
    <definedName name="Z_561DE2D1_B0AE_4896_AA61_5926B88ED735_.wvu.FilterData" localSheetId="0" hidden="1">загальне!$A$6:$J$301</definedName>
    <definedName name="Z_56D07CA4_3A8F_4E57_990B_3A33D177FA23_.wvu.FilterData" localSheetId="0" hidden="1">загальне!$A$6:$J$301</definedName>
    <definedName name="Z_57216EB5_F285_4D3D_8804_F4C1447258E5_.wvu.FilterData" localSheetId="0" hidden="1">загальне!$A$6:$J$347</definedName>
    <definedName name="Z_5776AEEC_9913_4217_814D_400CFE679C3E_.wvu.FilterData" localSheetId="0" hidden="1">загальне!$A$6:$J$301</definedName>
    <definedName name="Z_59F9E859_7DBE_4B96_A969_63ADA1E07BFE_.wvu.FilterData" localSheetId="0" hidden="1">загальне!$A$6:$J$301</definedName>
    <definedName name="Z_5A17F74F_9F13_46B8_8433_8D22469D4185_.wvu.FilterData" localSheetId="0" hidden="1">загальне!$A$6:$J$449</definedName>
    <definedName name="Z_5D9BE3B7_C618_47DB_8F0E_D1DDB1705E6B_.wvu.FilterData" localSheetId="0" hidden="1">загальне!$A$4:$J$6</definedName>
    <definedName name="Z_5EEB5DC5_097B_47D6_81BA_F19E1000B57E_.wvu.FilterData" localSheetId="0" hidden="1">загальне!$A$6:$J$347</definedName>
    <definedName name="Z_5EEB5DC5_097B_47D6_81BA_F19E1000B57E_.wvu.PrintArea" localSheetId="0" hidden="1">загальне!$A$2:$J$286</definedName>
    <definedName name="Z_5EEB5DC5_097B_47D6_81BA_F19E1000B57E_.wvu.PrintTitles" localSheetId="0" hidden="1">загальне!$6:$6</definedName>
    <definedName name="Z_5F564DC4_F80E_44B3_9C12_EE313E4E872A_.wvu.FilterData" localSheetId="0" hidden="1">загальне!$A$6:$J$301</definedName>
    <definedName name="Z_60012CAC_965D_4CFC_93A4_5CCD711B12F0_.wvu.FilterData" localSheetId="0" hidden="1">загальне!$A$4:$J$6</definedName>
    <definedName name="Z_6149D971_6896_4099_83EB_61159C951281_.wvu.FilterData" localSheetId="0" hidden="1">загальне!$A$6:$J$347</definedName>
    <definedName name="Z_65CADE76_9E13_43BF_B11F_E308EC288263_.wvu.FilterData" localSheetId="0" hidden="1">загальне!$A$6:$J$347</definedName>
    <definedName name="Z_665ECFF5_D772_45CE_93C9_1E9060CCFF8F_.wvu.FilterData" localSheetId="0" hidden="1">загальне!$A$6:$BZ$301</definedName>
    <definedName name="Z_66A24AA4_A74D_49B7_A44D_9BC6D293F264_.wvu.FilterData" localSheetId="0" hidden="1">загальне!$A$6:$J$301</definedName>
    <definedName name="Z_675C859F_867B_4E3E_8283_3B2C94BFA5E5_.wvu.FilterData" localSheetId="0" hidden="1">загальне!$A$6:$BZ$301</definedName>
    <definedName name="Z_67E15AF4_B3D4_4F28_BA3A_4297C918EDE6_.wvu.FilterData" localSheetId="0" hidden="1">загальне!$A$6:$J$301</definedName>
    <definedName name="Z_6869228E_626C_4ADE_A07E_9278820D1763_.wvu.FilterData" localSheetId="0" hidden="1">загальне!$A$6:$J$301</definedName>
    <definedName name="Z_68CBFC64_03A4_4F74_B34E_EE1DB915A668_.wvu.FilterData" localSheetId="0" hidden="1">загальне!$A$6:$BZ$301</definedName>
    <definedName name="Z_6997FD04_8B9B_4179_939E_BCFCC889513E_.wvu.FilterData" localSheetId="0" hidden="1">загальне!$A$6:$J$301</definedName>
    <definedName name="Z_6A002B8B_DF15_47FE_8548_D0F88EB4EB77_.wvu.FilterData" localSheetId="0" hidden="1">загальне!$A$6:$J$301</definedName>
    <definedName name="Z_6AE5F3A0_C632_4594_A73E_9DFBAB3F48DD_.wvu.FilterData" localSheetId="0" hidden="1">загальне!$A$6:$J$301</definedName>
    <definedName name="Z_6B4A68D4_7C2D_47AF_9585_0CBAA8172B85_.wvu.FilterData" localSheetId="0" hidden="1">загальне!$A$6:$BZ$301</definedName>
    <definedName name="Z_6B5F638D_DFD2_421F_8643_7691B33D7A3B_.wvu.FilterData" localSheetId="0" hidden="1">загальне!$A$6:$J$301</definedName>
    <definedName name="Z_6DB878EC_F0AA_4EE0_8DBD_0D2F2413D073_.wvu.FilterData" localSheetId="0" hidden="1">загальне!$A$6:$J$347</definedName>
    <definedName name="Z_6E77D0B8_D0CA_4F20_AF6F_4D2A3A9B2854_.wvu.FilterData" localSheetId="0" hidden="1">загальне!$A$6:$BZ$301</definedName>
    <definedName name="Z_6FCC1E26_8977_4950_8B87_CBE7C2A25ED8_.wvu.FilterData" localSheetId="0" hidden="1">загальне!$A$6:$J$301</definedName>
    <definedName name="Z_7012C998_533E_4EDC_995F_53A252D8A143_.wvu.FilterData" localSheetId="0" hidden="1">загальне!$A$6:$J$301</definedName>
    <definedName name="Z_713A662A_DFDD_43FB_A56E_1E210432D89D_.wvu.FilterData" localSheetId="0" hidden="1">загальне!$A$6:$J$301</definedName>
    <definedName name="Z_716F213C_8FDB_4E7E_934B_B03987478AAA_.wvu.FilterData" localSheetId="0" hidden="1">загальне!$A$6:$J$301</definedName>
    <definedName name="Z_72615B4A_0666_48DC_B3A0_332799C5347B_.wvu.FilterData" localSheetId="0" hidden="1">загальне!$A$4:$J$6</definedName>
    <definedName name="Z_72EDDA2C_BFF2_4D48_A13B_2B9C46213374_.wvu.FilterData" localSheetId="0" hidden="1">загальне!$A$6:$J$347</definedName>
    <definedName name="Z_743F23AC_8B5C_40B6_9ADD_B2B54B0B36A7_.wvu.FilterData" localSheetId="0" hidden="1">загальне!$A$6:$J$347</definedName>
    <definedName name="Z_746B9BA0_2CAB_416E_B194_EC52DB1EC742_.wvu.FilterData" localSheetId="0" hidden="1">загальне!$A$6:$J$347</definedName>
    <definedName name="Z_75E84732_9FC3_47C0_BD57_11CF3E1677E6_.wvu.FilterData" localSheetId="0" hidden="1">загальне!$A$6:$BZ$301</definedName>
    <definedName name="Z_768BA9CF_2122_41A7_8903_ECE3A54B69F8_.wvu.FilterData" localSheetId="0" hidden="1">загальне!$A$6:$J$449</definedName>
    <definedName name="Z_77600F81_B51A_42E2_A5BF_B2C40F0DE534_.wvu.FilterData" localSheetId="0" hidden="1">загальне!$A$6:$BZ$301</definedName>
    <definedName name="Z_77F98A1B_622E_4E1C_99A9_236FFCAA0B34_.wvu.FilterData" localSheetId="0" hidden="1">загальне!$A$6:$J$301</definedName>
    <definedName name="Z_78D70EA8_5249_4DAA_AE4A_2D8FFFD697D9_.wvu.FilterData" localSheetId="0" hidden="1">загальне!$A$6:$J$347</definedName>
    <definedName name="Z_795D5ECF_BF90_4F3E_A74E_B1A55C8421F2_.wvu.FilterData" localSheetId="0" hidden="1">загальне!$A$6:$J$347</definedName>
    <definedName name="Z_7A2B4F7E_E736_4CE4_ACAF_AB2E1CDC2BED_.wvu.FilterData" localSheetId="0" hidden="1">загальне!$A$6:$J$301</definedName>
    <definedName name="Z_7A936B14_3168_4319_80EC_9AB0E1E51913_.wvu.FilterData" localSheetId="0" hidden="1">загальне!$A$6:$J$347</definedName>
    <definedName name="Z_7C69758B_CDC9_4874_B714_8DA98D7197DD_.wvu.FilterData" localSheetId="0" hidden="1">загальне!$A$6:$J$347</definedName>
    <definedName name="Z_7C74E095_428E_48E8_A71D_0600250A46E8_.wvu.FilterData" localSheetId="0" hidden="1">загальне!$A$6:$J$301</definedName>
    <definedName name="Z_7E5CD23C_5346_4E9D_BFA0_035B6BA3097B_.wvu.FilterData" localSheetId="0" hidden="1">загальне!$A$6:$J$301</definedName>
    <definedName name="Z_7E83462C_2646_43F5_BA25_2D4B100EBEB1_.wvu.FilterData" localSheetId="0" hidden="1">загальне!$A$6:$J$301</definedName>
    <definedName name="Z_7EDDA008_F905_436E_A980_951BDACDA577_.wvu.FilterData" localSheetId="0" hidden="1">загальне!$A$4:$J$6</definedName>
    <definedName name="Z_7F2FA179_7E75_4D04_9C08_383F9EAE36E4_.wvu.FilterData" localSheetId="0" hidden="1">загальне!$A$6:$J$347</definedName>
    <definedName name="Z_7F311C52_3815_4334_BC86_EFE1D9CF838D_.wvu.FilterData" localSheetId="0" hidden="1">загальне!$A$6:$J$300</definedName>
    <definedName name="Z_81AB0083_9AC8_46E5_8989_3683179BE2CD_.wvu.FilterData" localSheetId="0" hidden="1">загальне!$A$6:$J$301</definedName>
    <definedName name="Z_82778C3B_E039_40FB_9D6E_6C955809D3AF_.wvu.FilterData" localSheetId="0" hidden="1">загальне!$A$6:$J$347</definedName>
    <definedName name="Z_82F7123C_C030_4534_8B46_822C4EBC62EC_.wvu.FilterData" localSheetId="0" hidden="1">загальне!$A$6:$J$449</definedName>
    <definedName name="Z_82F7E495_211B_4D53_B382_DE1C7FAF3376_.wvu.FilterData" localSheetId="0" hidden="1">загальне!$A$6:$J$449</definedName>
    <definedName name="Z_84291F06_C171_4BC3_846A_5B29D7A14C1B_.wvu.FilterData" localSheetId="0" hidden="1">загальне!$A$6:$J$301</definedName>
    <definedName name="Z_84AB9039_6109_4932_AA14_522BD4A30F0B_.wvu.FilterData" localSheetId="0" hidden="1">загальне!$A$6:$BZ$301</definedName>
    <definedName name="Z_85BFB728_94F1_4323_ACC8_9456F845AE11_.wvu.FilterData" localSheetId="0" hidden="1">загальне!$A$6:$J$347</definedName>
    <definedName name="Z_85CA5D27_9304_4004_A8E8_6687AFFCC00A_.wvu.FilterData" localSheetId="0" hidden="1">загальне!$A$6:$J$301</definedName>
    <definedName name="Z_868786DC_4C96_45F5_A272_3E03D4B934A0_.wvu.FilterData" localSheetId="0" hidden="1">загальне!$A$6:$J$449</definedName>
    <definedName name="Z_8712F0EA_8AFD_45F0_99A0_31E181367C18_.wvu.FilterData" localSheetId="0" hidden="1">загальне!$A$4:$J$6</definedName>
    <definedName name="Z_87307EED_7277_4B82_83B9_FD6EFB33210A_.wvu.FilterData" localSheetId="0" hidden="1">загальне!$A$6:$J$347</definedName>
    <definedName name="Z_87B11953_FBBE_4422_B331_7A1407FEF2C2_.wvu.FilterData" localSheetId="0" hidden="1">загальне!$A$6:$J$301</definedName>
    <definedName name="Z_8AD8908B_5409_470D_AEE7_01A535707576_.wvu.FilterData" localSheetId="0" hidden="1">загальне!$A$6:$J$301</definedName>
    <definedName name="Z_8AF3FC9C_0EA5_4F5D_9117_5F59A40F6C1D_.wvu.FilterData" localSheetId="0" hidden="1">загальне!$A$6:$J$301</definedName>
    <definedName name="Z_8BA1F70D_2590_40B0_8F4D_CC37D4F962D2_.wvu.FilterData" localSheetId="0" hidden="1">загальне!$A$6:$J$347</definedName>
    <definedName name="Z_8C20099F_458E_43CE_A656_163A95BE1B63_.wvu.FilterData" localSheetId="0" hidden="1">загальне!$A$6:$BZ$301</definedName>
    <definedName name="Z_8D2A8B7C_AD65_4D27_81C5_03D90CCE10D6_.wvu.FilterData" localSheetId="0" hidden="1">загальне!$A$6:$BZ$301</definedName>
    <definedName name="Z_8DA01475_C6A0_4A19_B7EB_B1C704431492_.wvu.FilterData" localSheetId="0" hidden="1">загальне!$A$6:$J$301</definedName>
    <definedName name="Z_8E60DEEE_B29D_4EEA_B25A_DB1975B13507_.wvu.FilterData" localSheetId="0" hidden="1">загальне!$A$6:$J$449</definedName>
    <definedName name="Z_8F5BBF1A_FC79_4BB3_97F0_50B619130E26_.wvu.FilterData" localSheetId="0" hidden="1">загальне!$A$6:$J$301</definedName>
    <definedName name="Z_8FB1E024_9866_4CAD_B900_0CCFEA27B234_.wvu.FilterData" localSheetId="0" hidden="1">загальне!$A$6:$J$301</definedName>
    <definedName name="Z_8FB1E024_9866_4CAD_B900_0CCFEA27B234_.wvu.PrintArea" localSheetId="0" hidden="1">загальне!$A$2:$J$286</definedName>
    <definedName name="Z_8FB1E024_9866_4CAD_B900_0CCFEA27B234_.wvu.PrintTitles" localSheetId="0" hidden="1">загальне!$6:$6</definedName>
    <definedName name="Z_90104242_D578_485A_91E2_ACB42B11755F_.wvu.FilterData" localSheetId="0" hidden="1">загальне!$A$6:$J$347</definedName>
    <definedName name="Z_90518B97_7307_4173_A97E_975285B914B1_.wvu.FilterData" localSheetId="0" hidden="1">загальне!$A$6:$J$301</definedName>
    <definedName name="Z_925CFE27_E1C6_48F7_AA2E_4E47C240CFE1_.wvu.FilterData" localSheetId="0" hidden="1">загальне!$A$6:$J$301</definedName>
    <definedName name="Z_93443DB4_16CC_4115_8132_074F13427393_.wvu.FilterData" localSheetId="0" hidden="1">загальне!$A$6:$J$300</definedName>
    <definedName name="Z_93A13551_3E8E_4065_89A7_310AA9E7AE54_.wvu.FilterData" localSheetId="0" hidden="1">загальне!$A$6:$J$347</definedName>
    <definedName name="Z_94F9C593_9DE2_4EC4_AFA3_39D38CF2BB33_.wvu.FilterData" localSheetId="0" hidden="1">загальне!$A$6:$J$300</definedName>
    <definedName name="Z_95A7493F_2B11_406A_BB91_458FD9DC3BAE_.wvu.FilterData" localSheetId="0" hidden="1">загальне!$A$6:$BZ$301</definedName>
    <definedName name="Z_95A7493F_2B11_406A_BB91_458FD9DC3BAE_.wvu.PrintArea" localSheetId="0" hidden="1">загальне!$A$2:$J$286</definedName>
    <definedName name="Z_95A7493F_2B11_406A_BB91_458FD9DC3BAE_.wvu.PrintTitles" localSheetId="0" hidden="1">загальне!$6:$6</definedName>
    <definedName name="Z_966D3932_E429_4C59_AC55_697D9EEA620A_.wvu.FilterData" localSheetId="0" hidden="1">загальне!$A$6:$Z$301</definedName>
    <definedName name="Z_966D3932_E429_4C59_AC55_697D9EEA620A_.wvu.PrintArea" localSheetId="0" hidden="1">загальне!$A$1:$J$301</definedName>
    <definedName name="Z_966D3932_E429_4C59_AC55_697D9EEA620A_.wvu.PrintTitles" localSheetId="0" hidden="1">загальне!$6:$6</definedName>
    <definedName name="Z_967F1A8A_48DD_4277_A863_3849576B72D0_.wvu.FilterData" localSheetId="0" hidden="1">загальне!$A$6:$J$301</definedName>
    <definedName name="Z_982FB0F3_EEED_4A35_8AE0_8012B631E660_.wvu.FilterData" localSheetId="0" hidden="1">загальне!$A$6:$J$301</definedName>
    <definedName name="Z_998E5F34_5F22_456C_AF6B_44B849DA5E75_.wvu.FilterData" localSheetId="0" hidden="1">загальне!$A$6:$J$300</definedName>
    <definedName name="Z_9BFA17BE_4413_48EA_8DFA_9D7972E1D966_.wvu.FilterData" localSheetId="0" hidden="1">загальне!$A$6:$J$301</definedName>
    <definedName name="Z_9D5BFF78_E3BA_4BCB_AD42_B369D1A6F27F_.wvu.FilterData" localSheetId="0" hidden="1">загальне!$A$6:$J$301</definedName>
    <definedName name="Z_9DB42EA6_6F33_4055_AFFC_2CB330A83BF6_.wvu.FilterData" localSheetId="0" hidden="1">загальне!$A$6:$J$300</definedName>
    <definedName name="Z_9E613866_5B9C_47D7_AFA4_58928D3C6E62_.wvu.FilterData" localSheetId="0" hidden="1">загальне!$A$6:$J$301</definedName>
    <definedName name="Z_9EB09BA5_1A06_464B_9D4E_3EF1374F6659_.wvu.FilterData" localSheetId="0" hidden="1">загальне!$A$6:$J$300</definedName>
    <definedName name="Z_9F241BF9_3E2B_4BDD_B26A_F89F327E72C3_.wvu.FilterData" localSheetId="0" hidden="1">загальне!$A$6:$J$301</definedName>
    <definedName name="Z_9FE2B88C_FF56_4DEE_8B84_1ADFBBB1D084_.wvu.FilterData" localSheetId="0" hidden="1">загальне!$A$6:$J$449</definedName>
    <definedName name="Z_A274E916_0616_4798_8975_3911D43C14F5_.wvu.FilterData" localSheetId="0" hidden="1">загальне!$A$6:$J$347</definedName>
    <definedName name="Z_A2AC5481_37D4_4229_BD4F_7BED984BFF61_.wvu.FilterData" localSheetId="0" hidden="1">загальне!$A$6:$J$301</definedName>
    <definedName name="Z_A330E7CE_1B63_4807_AC38_5251AE03B568_.wvu.FilterData" localSheetId="0" hidden="1">загальне!$A$6:$J$449</definedName>
    <definedName name="Z_A5BD67D1_5F1C_472E_9385_9177CF38402F_.wvu.FilterData" localSheetId="0" hidden="1">загальне!$A$6:$J$301</definedName>
    <definedName name="Z_A600D8D5_C13F_49F2_9D2C_FC8EA32AC551_.wvu.FilterData" localSheetId="0" hidden="1">загальне!$A$6:$J$449</definedName>
    <definedName name="Z_A600D8D5_C13F_49F2_9D2C_FC8EA32AC551_.wvu.PrintTitles" localSheetId="0" hidden="1">загальне!$6:$6</definedName>
    <definedName name="Z_A69EC43C_B62B_4614_A0A3_0CC80947E55B_.wvu.FilterData" localSheetId="0" hidden="1">загальне!$A$6:$BZ$301</definedName>
    <definedName name="Z_A75085A3_4AC1_49B5_8DC1_19942A878723_.wvu.FilterData" localSheetId="0" hidden="1">загальне!$A$6:$J$347</definedName>
    <definedName name="Z_A7A42B55_9F6C_4A34_BF88_539458839798_.wvu.FilterData" localSheetId="0" hidden="1">загальне!$A$6:$J$301</definedName>
    <definedName name="Z_A9CB6613_36BA_46BF_9FA8_AEAB37393612_.wvu.FilterData" localSheetId="0" hidden="1">загальне!$A$6:$J$301</definedName>
    <definedName name="Z_AA3BE0DE_1363_4DDA_934E_FD9CAE988533_.wvu.FilterData" localSheetId="0" hidden="1">загальне!$A$6:$J$347</definedName>
    <definedName name="Z_AA5DB17E_D4B9_49C8_96A5_D22053C6C5B1_.wvu.FilterData" localSheetId="0" hidden="1">загальне!$A$6:$J$301</definedName>
    <definedName name="Z_ACBA7AB7_E5BF_4817_ACF6_DA5FB388AD46_.wvu.FilterData" localSheetId="0" hidden="1">загальне!$A$6:$J$347</definedName>
    <definedName name="Z_AEA5B2EA_8CD5_4D16_87DA_0C74224B0E36_.wvu.FilterData" localSheetId="0" hidden="1">загальне!$A$6:$J$301</definedName>
    <definedName name="Z_AEABEE2C_6038_47D9_81A7_15110E43218C_.wvu.FilterData" localSheetId="0" hidden="1">загальне!$A$6:$J$347</definedName>
    <definedName name="Z_AF878C17_3B2C_48A3_9BE9_929E49BFE12F_.wvu.FilterData" localSheetId="0" hidden="1">загальне!$A$6:$J$301</definedName>
    <definedName name="Z_AFA1F171_D315_47F1_98EA_0E2E30F4BAC6_.wvu.FilterData" localSheetId="0" hidden="1">загальне!$A$6:$BZ$301</definedName>
    <definedName name="Z_B09841F2_D07A_4B31_A395_000C1A63FF41_.wvu.FilterData" localSheetId="0" hidden="1">загальне!$A$6:$J$301</definedName>
    <definedName name="Z_B09841F2_D07A_4B31_A395_000C1A63FF41_.wvu.PrintArea" localSheetId="0" hidden="1">загальне!$A$2:$J$286</definedName>
    <definedName name="Z_B09841F2_D07A_4B31_A395_000C1A63FF41_.wvu.PrintTitles" localSheetId="0" hidden="1">загальне!$6:$6</definedName>
    <definedName name="Z_B0CF427B_E64B_46A6_97A4_9B49090FE4BE_.wvu.FilterData" localSheetId="0" hidden="1">загальне!$A$6:$J$347</definedName>
    <definedName name="Z_B0D300EE_CE3D_4267_8F4B_3D65D54915E1_.wvu.FilterData" localSheetId="0" hidden="1">загальне!$A$6:$J$301</definedName>
    <definedName name="Z_B2319D0F_B5B7_4B85_B31D_3FEB7916998F_.wvu.FilterData" localSheetId="0" hidden="1">загальне!$A$6:$J$449</definedName>
    <definedName name="Z_B31E6874_4FC0_47ED_8042_8593070B2CD6_.wvu.FilterData" localSheetId="0" hidden="1">загальне!$A$6:$J$301</definedName>
    <definedName name="Z_B4997D58_BD25_4440_9383_3C887D277BCF_.wvu.FilterData" localSheetId="0" hidden="1">загальне!$A$6:$J$347</definedName>
    <definedName name="Z_B54E984C_CDE9_4AD4_B151_3C9A831387F7_.wvu.FilterData" localSheetId="0" hidden="1">загальне!$A$6:$BZ$301</definedName>
    <definedName name="Z_B55746B5_6CDF_443B_8C7F_8F8A1DC5562E_.wvu.FilterData" localSheetId="0" hidden="1">загальне!$A$6:$J$449</definedName>
    <definedName name="Z_B607774B_B68E_4DBE_B4D4_274DD101B3B3_.wvu.FilterData" localSheetId="0" hidden="1">загальне!$A$4:$J$6</definedName>
    <definedName name="Z_B637BC8F_E49F_4D36_BA7E_87587BAEF462_.wvu.FilterData" localSheetId="0" hidden="1">загальне!$A$6:$J$347</definedName>
    <definedName name="Z_B8AC68F9_618C_4990_B101_9BD7FB1FCD22_.wvu.FilterData" localSheetId="0" hidden="1">загальне!$A$4:$J$6</definedName>
    <definedName name="Z_B9D2896B_3D46_4E80_A333_D35EE8923B5F_.wvu.FilterData" localSheetId="0" hidden="1">загальне!$A$6:$J$301</definedName>
    <definedName name="Z_BA1D743D_8CD7_4C01_B0E4_1729D2189C73_.wvu.FilterData" localSheetId="0" hidden="1">загальне!$A$6:$J$301</definedName>
    <definedName name="Z_BB4DF29A_3635_4350_9E09_BBEF363FC239_.wvu.FilterData" localSheetId="0" hidden="1">загальне!$A$4:$J$6</definedName>
    <definedName name="Z_BC4BF63E_98F8_4CE0_B0DE_A2A71C291EFE_.wvu.FilterData" localSheetId="0" hidden="1">загальне!$A$6:$BZ$301</definedName>
    <definedName name="Z_BC735923_D0EA_47FD_9B99_A44B26AB32B8_.wvu.FilterData" localSheetId="0" hidden="1">загальне!$A$6:$J$301</definedName>
    <definedName name="Z_BE1C4A44_01B5_4ECE_8D55_C71095D37032_.wvu.FilterData" localSheetId="0" hidden="1">загальне!$A$6:$J$301</definedName>
    <definedName name="Z_BED4F540_47A7_459B_8414_21EF84302EA3_.wvu.FilterData" localSheetId="0" hidden="1">загальне!$A$6:$J$347</definedName>
    <definedName name="Z_BF36043A_AFA1_4ED6_B54F_F4173C55E31C_.wvu.FilterData" localSheetId="0" hidden="1">загальне!$A$6:$J$347</definedName>
    <definedName name="Z_BF57B08F_2B48_4EE9_9ADD_06D6906608C1_.wvu.FilterData" localSheetId="0" hidden="1">загальне!$A$6:$J$449</definedName>
    <definedName name="Z_BFC3CBD4_C5BA_4A56_906C_565ED71D320D_.wvu.FilterData" localSheetId="0" hidden="1">загальне!$A$6:$J$301</definedName>
    <definedName name="Z_C105019C_D493_4AF2_B08B_98003C4FEF9B_.wvu.FilterData" localSheetId="0" hidden="1">загальне!$A$6:$J$347</definedName>
    <definedName name="Z_C172C42A_B6A9_490D_905B_14F6BA2DCBCA_.wvu.FilterData" localSheetId="0" hidden="1">загальне!$A$6:$J$301</definedName>
    <definedName name="Z_C32A6808_4BDA_43E4_ACD1_1B0FCC0DA219_.wvu.FilterData" localSheetId="0" hidden="1">загальне!$A$6:$J$347</definedName>
    <definedName name="Z_C343756C_7EBC_41EB_89B6_11C31F46AD7D_.wvu.FilterData" localSheetId="0" hidden="1">загальне!$A$6:$J$347</definedName>
    <definedName name="Z_C4185438_74E2_4EE2_8A94_BE1F1EE5C2A4_.wvu.FilterData" localSheetId="0" hidden="1">загальне!$A$6:$J$301</definedName>
    <definedName name="Z_C4269454_1D3D_4937_A7DB_6BFDB690E1BF_.wvu.FilterData" localSheetId="0" hidden="1">загальне!$A$6:$J$347</definedName>
    <definedName name="Z_C458F186_9D0B_4580_867E_1DC962BAE8B0_.wvu.FilterData" localSheetId="0" hidden="1">загальне!$A$6:$BZ$301</definedName>
    <definedName name="Z_C4A91C4C_4FDF_4528_B780_BABD8261F89B_.wvu.FilterData" localSheetId="0" hidden="1">загальне!$A$6:$J$300</definedName>
    <definedName name="Z_C553E94D_7349_4BE2_B36E_269E78EC733A_.wvu.FilterData" localSheetId="0" hidden="1">загальне!$A$6:$BZ$301</definedName>
    <definedName name="Z_C5AC499E_0359_4E1F_94CE_578AF2A54734_.wvu.FilterData" localSheetId="0" hidden="1">загальне!$A$6:$J$449</definedName>
    <definedName name="Z_C5DD2CEF_6DC9_42B9_B991_658B57CBD712_.wvu.FilterData" localSheetId="0" hidden="1">загальне!$A$6:$J$449</definedName>
    <definedName name="Z_C7FD81BD_691B_4A89_96A0_CDABC50081E4_.wvu.FilterData" localSheetId="0" hidden="1">загальне!$A$6:$J$347</definedName>
    <definedName name="Z_C8489D43_32B9_4349_973B_9C94F0536721_.wvu.FilterData" localSheetId="0" hidden="1">загальне!$A$6:$J$449</definedName>
    <definedName name="Z_C920DB58_DB5D_4286_8169_C2AA2ED89A9A_.wvu.FilterData" localSheetId="0" hidden="1">загальне!$A$6:$J$301</definedName>
    <definedName name="Z_CA8983D9_E565_4991_B76C_F6D76E63663C_.wvu.FilterData" localSheetId="0" hidden="1">загальне!$A$6:$J$301</definedName>
    <definedName name="Z_CC0A6F72_A956_4FF0_A9CF_B2F133844683_.wvu.FilterData" localSheetId="0" hidden="1">загальне!$A$6:$J$347</definedName>
    <definedName name="Z_CF069AD8_C6E4_40EE_85C1_CD44D38BC77F_.wvu.FilterData" localSheetId="0" hidden="1">загальне!$A$6:$J$300</definedName>
    <definedName name="Z_CF1EFC15_1276_44E9_B8E0_6069FE1FC094_.wvu.FilterData" localSheetId="0" hidden="1">загальне!$A$6:$J$347</definedName>
    <definedName name="Z_CFB0A04F_563D_4D2B_BCD3_ACFCDC70E584_.wvu.FilterData" localSheetId="0" hidden="1">загальне!$A$6:$BZ$301</definedName>
    <definedName name="Z_CFB0A04F_563D_4D2B_BCD3_ACFCDC70E584_.wvu.Rows" localSheetId="0" hidden="1">загальне!$7:$116,загальне!$118:$124,загальне!$126:$126</definedName>
    <definedName name="Z_CFD58EC5_F475_4F0C_8822_861C497EA100_.wvu.FilterData" localSheetId="0" hidden="1">загальне!$A$6:$BZ$301</definedName>
    <definedName name="Z_CFD58EC5_F475_4F0C_8822_861C497EA100_.wvu.PrintArea" localSheetId="0" hidden="1">загальне!$A$1:$J$301</definedName>
    <definedName name="Z_CFD58EC5_F475_4F0C_8822_861C497EA100_.wvu.PrintTitles" localSheetId="0" hidden="1">загальне!$6:$6</definedName>
    <definedName name="Z_D0621073_25BE_47D7_AC33_51146458D41C_.wvu.FilterData" localSheetId="0" hidden="1">загальне!$A$6:$J$301</definedName>
    <definedName name="Z_D10FBD64_4601_40D8_BA69_F0EA6D3ED846_.wvu.FilterData" localSheetId="0" hidden="1">загальне!$A$6:$J$301</definedName>
    <definedName name="Z_D14B1F1D_6F0E_49B1_92FB_6E5D79228E22_.wvu.FilterData" localSheetId="0" hidden="1">загальне!$A$6:$J$347</definedName>
    <definedName name="Z_D196F711_2A18_4840_9CDF_97770F3C341D_.wvu.FilterData" localSheetId="0" hidden="1">загальне!$A$6:$J$301</definedName>
    <definedName name="Z_D2766CAD_9C8E_45A9_8098_61F9C667553B_.wvu.FilterData" localSheetId="0" hidden="1">загальне!$A$6:$BZ$301</definedName>
    <definedName name="Z_D3BF9972_335A_4BF6_985A_3FAFB12859F0_.wvu.FilterData" localSheetId="0" hidden="1">загальне!$A$6:$J$301</definedName>
    <definedName name="Z_D3FC038B_D1F5_4CDD_BF89_B0BF2773CD42_.wvu.FilterData" localSheetId="0" hidden="1">загальне!$A$4:$J$6</definedName>
    <definedName name="Z_D4E8D1A3_1CF7_4E9F_8E3E_76E99A013BCC_.wvu.FilterData" localSheetId="0" hidden="1">загальне!$A$6:$J$347</definedName>
    <definedName name="Z_D5681C61_0984_4C5B_9D67_8EE316AD015C_.wvu.FilterData" localSheetId="0" hidden="1">загальне!$A$6:$J$347</definedName>
    <definedName name="Z_D64EF95C_79C4_46AC_AC41_4006BE2579BA_.wvu.FilterData" localSheetId="0" hidden="1">загальне!$A$6:$J$347</definedName>
    <definedName name="Z_D6C9B499_8D30_4283_AE2A_B58ABDEBA548_.wvu.FilterData" localSheetId="0" hidden="1">загальне!$A$6:$J$449</definedName>
    <definedName name="Z_D72C2C3D_2338_405D_96DD_2A1944EC8698_.wvu.FilterData" localSheetId="0" hidden="1">загальне!$A$6:$BZ$301</definedName>
    <definedName name="Z_D99C893A_0D9F_4F69_B1E5_4BCEB72F4291_.wvu.FilterData" localSheetId="0" hidden="1">загальне!$A$4:$J$6</definedName>
    <definedName name="Z_DB07A5FC_986D_4926_8060_C6D85FB8BA34_.wvu.FilterData" localSheetId="0" hidden="1">загальне!$A$6:$BZ$301</definedName>
    <definedName name="Z_DB146771_765B_4EDB_AC76_D56707AD72CF_.wvu.FilterData" localSheetId="0" hidden="1">загальне!$A$6:$J$347</definedName>
    <definedName name="Z_DBF8F6A4_7388_4C5F_8609_AD47282385A6_.wvu.FilterData" localSheetId="0" hidden="1">загальне!$A$6:$J$449</definedName>
    <definedName name="Z_DE0623D9_75DF_4C41_AF3E_5381C2A8629F_.wvu.FilterData" localSheetId="0" hidden="1">загальне!$A$6:$J$347</definedName>
    <definedName name="Z_DE2034B5_D274_41CF_AE24_6339ACF79613_.wvu.FilterData" localSheetId="0" hidden="1">загальне!$A$6:$J$301</definedName>
    <definedName name="Z_DEE728ED_1133_4DAB_BC02_158A35CECBC6_.wvu.FilterData" localSheetId="0" hidden="1">загальне!$A$6:$J$301</definedName>
    <definedName name="Z_DFF3F719_2855_42BC_ACEB_8441420613B1_.wvu.FilterData" localSheetId="0" hidden="1">загальне!$A$6:$J$301</definedName>
    <definedName name="Z_E0BD702E_D11B_4F82_8804_E10754F8CC65_.wvu.FilterData" localSheetId="0" hidden="1">загальне!$A$6:$BZ$301</definedName>
    <definedName name="Z_E147D13D_D04D_431E_888C_5A9AE670FC44_.wvu.FilterData" localSheetId="0" hidden="1">загальне!$A$4:$J$6</definedName>
    <definedName name="Z_E147D13D_D04D_431E_888C_5A9AE670FC44_.wvu.PrintTitles" localSheetId="0" hidden="1">загальне!$6:$6</definedName>
    <definedName name="Z_E1663454_FD8A_4EB7_8B04_ADE04D736B77_.wvu.FilterData" localSheetId="0" hidden="1">загальне!$A$6:$J$347</definedName>
    <definedName name="Z_E3334516_B3FD_45B9_AB64_DFED61082F84_.wvu.FilterData" localSheetId="0" hidden="1">загальне!$A$6:$J$347</definedName>
    <definedName name="Z_E3983C1A_AB41_491B_B4D8_ECB97796B009_.wvu.FilterData" localSheetId="0" hidden="1">загальне!$A$6:$J$347</definedName>
    <definedName name="Z_E418290D_2076_47BD_8438_6673CF24E35A_.wvu.FilterData" localSheetId="0" hidden="1">загальне!$A$6:$J$347</definedName>
    <definedName name="Z_E5D536E5_5DE3_4FEC_A98C_B3FAAD77758C_.wvu.FilterData" localSheetId="0" hidden="1">загальне!$A$6:$BZ$301</definedName>
    <definedName name="Z_EA8E6D18_68D7_4389_88CB_3C3027AB668A_.wvu.FilterData" localSheetId="0" hidden="1">загальне!$A$6:$J$449</definedName>
    <definedName name="Z_EC685240_1D02_4218_81D9_C5D444944536_.wvu.FilterData" localSheetId="0" hidden="1">загальне!$A$6:$BZ$301</definedName>
    <definedName name="Z_ED5AC437_1F65_441E_BBEA_F88D9FEA1BA8_.wvu.FilterData" localSheetId="0" hidden="1">загальне!$A$6:$J$301</definedName>
    <definedName name="Z_EE3611DB_BB9A_42C8_98CA_2B323AB8FB7B_.wvu.FilterData" localSheetId="0" hidden="1">загальне!$A$6:$J$347</definedName>
    <definedName name="Z_EF32CA8F_131B_41F0_AA31_167807ADE2D4_.wvu.FilterData" localSheetId="0" hidden="1">загальне!$A$6:$BZ$301</definedName>
    <definedName name="Z_EFD63851_2976_4987_8539_F3FE3A991088_.wvu.FilterData" localSheetId="0" hidden="1">загальне!$A$6:$J$347</definedName>
    <definedName name="Z_F06ACB63_A424_47E0_8092_CCE891CCD225_.wvu.FilterData" localSheetId="0" hidden="1">загальне!$A$4:$J$6</definedName>
    <definedName name="Z_F09B8F21_CFBA_4144_8BE7_F13B0A684312_.wvu.FilterData" localSheetId="0" hidden="1">загальне!$A$6:$J$301</definedName>
    <definedName name="Z_F14D494F_E5E8_4E8F_99A5_E5D0EE7C4CD1_.wvu.FilterData" localSheetId="0" hidden="1">загальне!$A$6:$J$301</definedName>
    <definedName name="Z_F35C19AC_1AD8_4B98_9E5C_812DA7490AFD_.wvu.FilterData" localSheetId="0" hidden="1">загальне!$A$6:$J$301</definedName>
    <definedName name="Z_F5149A81_C534_4D57_8E28_ACCC96AC9AC3_.wvu.FilterData" localSheetId="0" hidden="1">загальне!$A$6:$J$347</definedName>
    <definedName name="Z_F5211A6A_EE37_46DC_9C2C_FBE0CAB7604C_.wvu.FilterData" localSheetId="0" hidden="1">загальне!$A$4:$J$6</definedName>
    <definedName name="Z_F63B9AFD_D8B0_4F8C_A0C2_8214DCA948D7_.wvu.FilterData" localSheetId="0" hidden="1">загальне!$A$6:$J$301</definedName>
    <definedName name="Z_F6991520_2C3B_4C21_9197_8515F05E79C7_.wvu.FilterData" localSheetId="0" hidden="1">загальне!$A$6:$J$347</definedName>
    <definedName name="Z_F73173ED_9D02_4835_8031_F71A7D33ECA6_.wvu.FilterData" localSheetId="0" hidden="1">загальне!$A$6:$J$449</definedName>
    <definedName name="Z_F9324F9E_6E0D_484A_B1A6_F87CCAA93894_.wvu.FilterData" localSheetId="0" hidden="1">загальне!$A$6:$BZ$301</definedName>
    <definedName name="Z_F9544812_EB32_433B_BB14_D909670E9E5D_.wvu.FilterData" localSheetId="0" hidden="1">загальне!$A$6:$J$301</definedName>
    <definedName name="Z_F9CD2061_D224_494A_B06D_1C81E6930B04_.wvu.FilterData" localSheetId="0" hidden="1">загальне!$A$6:$J$300</definedName>
    <definedName name="Z_F9D2B861_A6DF_4E58_9205_20667B07345D_.wvu.FilterData" localSheetId="0" hidden="1">загальне!$A$6:$J$347</definedName>
    <definedName name="Z_FA039D92_C83F_438E_BA9D_917452CA1B7F_.wvu.FilterData" localSheetId="0" hidden="1">загальне!$A$6:$J$301</definedName>
    <definedName name="Z_FDA91638_7DD6_48C3_8AC3_AA44420F30D7_.wvu.FilterData" localSheetId="0" hidden="1">загальне!$A$6:$J$301</definedName>
    <definedName name="Z_FF1C8053_6325_4562_BDE7_81A6D9BCDD2B_.wvu.FilterData" localSheetId="0" hidden="1">загальне!$A$6:$J$300</definedName>
    <definedName name="Z_FF9353E4_7543_4700_982C_B41C9ACB3ADF_.wvu.FilterData" localSheetId="0" hidden="1">загальне!$A$6:$J$301</definedName>
    <definedName name="Z_FFB47FFE_A5E4_419A_BD39_DDC70DF4F5D4_.wvu.FilterData" localSheetId="0" hidden="1">загальне!$A$6:$J$301</definedName>
    <definedName name="_xlnm.Print_Titles" localSheetId="0">загальне!$6:$6</definedName>
    <definedName name="_xlnm.Print_Area" localSheetId="0">загальне!$A$1:$J$301</definedName>
  </definedNames>
  <calcPr calcId="181029"/>
  <customWorkbookViews>
    <customWorkbookView name="User457d - Личное представление" guid="{0CBA335B-0DD8-471B-913E-91954D8A7DE8}" mergeInterval="0" personalView="1" maximized="1" xWindow="1" yWindow="1" windowWidth="1916" windowHeight="850" activeSheetId="1"/>
    <customWorkbookView name="User463d - Личное представление" guid="{F9324F9E-6E0D-484A-B1A6-F87CCAA93894}" mergeInterval="0" personalView="1" maximized="1" xWindow="1" yWindow="1" windowWidth="1920" windowHeight="802" activeSheetId="1"/>
    <customWorkbookView name="user457b - Личное представление" guid="{95A7493F-2B11-406A-BB91-458FD9DC3BAE}" mergeInterval="0" personalView="1" maximized="1" xWindow="1" yWindow="1" windowWidth="1871" windowHeight="780" activeSheetId="1"/>
    <customWorkbookView name="User465d - Личное представление" guid="{D0621073-25BE-47D7-AC33-51146458D41C}" mergeInterval="0" personalView="1" maximized="1" xWindow="1" yWindow="1" windowWidth="1920" windowHeight="850" activeSheetId="1"/>
    <customWorkbookView name="User452c - Личное представление" guid="{B09841F2-D07A-4B31-A395-000C1A63FF41}" mergeInterval="0" personalView="1" maximized="1" xWindow="1" yWindow="1" windowWidth="1920" windowHeight="853" activeSheetId="1"/>
    <customWorkbookView name="user415c - Личное представление" guid="{3824CD03-2F75-4531-8348-997F8B6518CE}" mergeInterval="0" personalView="1" maximized="1" xWindow="1" yWindow="1" windowWidth="1920" windowHeight="850" activeSheetId="1"/>
    <customWorkbookView name="user457a - Личное представление" guid="{1BDFBE17-25BB-4BB9-B67F-4757B39B2D64}" mergeInterval="0" personalView="1" maximized="1" xWindow="1" yWindow="1" windowWidth="1916" windowHeight="810" activeSheetId="1"/>
    <customWorkbookView name="user565f - Личное представление" guid="{713A662A-DFDD-43FB-A56E-1E210432D89D}" mergeInterval="0" personalView="1" maximized="1" xWindow="1" yWindow="1" windowWidth="1920" windowHeight="850" activeSheetId="1"/>
    <customWorkbookView name="User416b - Личное представление" guid="{90518B97-7307-4173-A97E-975285B914B1}" mergeInterval="0" personalView="1" maximized="1" xWindow="1" yWindow="1" windowWidth="1920" windowHeight="850" activeSheetId="1"/>
    <customWorkbookView name="User563b - Личное представление" guid="{8112C56A-816E-41B5-AC5C-5C34336EE27C}" mergeInterval="0" personalView="1" maximized="1" xWindow="-9" yWindow="-9" windowWidth="1938" windowHeight="1048" activeSheetId="1"/>
    <customWorkbookView name="User56a - Личное представление" guid="{B0CF427B-E64B-46A6-97A4-9B49090FE4BE}" mergeInterval="0" personalView="1" maximized="1" xWindow="-8" yWindow="-8" windowWidth="1936" windowHeight="1056" activeSheetId="1"/>
    <customWorkbookView name="Microsoft - Личное представление" guid="{72EDDA2C-BFF2-4D48-A13B-2B9C46213374}" mergeInterval="0" personalView="1" maximized="1" xWindow="1" yWindow="1" windowWidth="1366" windowHeight="496" activeSheetId="1"/>
    <customWorkbookView name="Танечка - Особисте подання" guid="{839A87F2-F73A-45C5-ADB8-392A99CC1EFF}" mergeInterval="0" personalView="1" maximized="1" xWindow="-8" yWindow="-8" windowWidth="1936" windowHeight="1056" activeSheetId="1"/>
    <customWorkbookView name="user_451 - Личное представление" guid="{5EEB5DC5-097B-47D6-81BA-F19E1000B57E}" mergeInterval="0" personalView="1" maximized="1" xWindow="-8" yWindow="-8" windowWidth="1936" windowHeight="1056" activeSheetId="1"/>
    <customWorkbookView name="Tanya - Личное представление" guid="{795D5ECF-BF90-4F3E-A74E-B1A55C8421F2}" mergeInterval="0" personalView="1" maximized="1" xWindow="1" yWindow="1" windowWidth="1920" windowHeight="808" activeSheetId="1"/>
    <customWorkbookView name="User_463 - Личное представление" guid="{E147D13D-D04D-431E-888C-5A9AE670FC44}" mergeInterval="0" personalView="1" maximized="1" windowWidth="1276" windowHeight="850" activeSheetId="1"/>
    <customWorkbookView name="Garmash - Личное представление" guid="{3B5575E9-696E-4E1F-8BBE-8483CF318052}" mergeInterval="0" personalView="1" maximized="1" windowWidth="1020" windowHeight="562" activeSheetId="1"/>
    <customWorkbookView name="User416 - Личное представление" guid="{452C56A1-7A56-4ADE-A5CF-E260228787E3}" mergeInterval="0" personalView="1" maximized="1" windowWidth="1020" windowHeight="596" activeSheetId="1"/>
    <customWorkbookView name="user_457 - Личное представление" guid="{7EDDA008-F905-436E-A980-951BDACDA577}" mergeInterval="0" personalView="1" maximized="1" xWindow="1" yWindow="1" windowWidth="1920" windowHeight="753" activeSheetId="1"/>
    <customWorkbookView name="User457c  - Личное представление" guid="{2A0A5548-2EEF-4469-A03C-FA481083CE33}" mergeInterval="0" personalView="1" maximized="1" windowWidth="1020" windowHeight="569" activeSheetId="1"/>
    <customWorkbookView name="user458 - Личное представление" guid="{CC0A6F72-A956-4FF0-A9CF-B2F133844683}" mergeInterval="0" personalView="1" maximized="1" xWindow="1" yWindow="1" windowWidth="1280" windowHeight="453" activeSheetId="1"/>
    <customWorkbookView name="User565 - Личное представление" guid="{B5FF27E5-4C0E-4323-88CE-5D44F441DDEF}" mergeInterval="0" personalView="1" maximized="1" xWindow="1" yWindow="1" windowWidth="1920" windowHeight="829" activeSheetId="1"/>
    <customWorkbookView name="User_455 - Личное представление" guid="{33313D92-ACCC-472C-8066-C92558BED64F}" mergeInterval="0" personalView="1" maximized="1" xWindow="1" yWindow="1" windowWidth="1920" windowHeight="753" activeSheetId="1"/>
    <customWorkbookView name="user415a - Личное представление" guid="{F9D2B861-A6DF-4E58-9205-20667B07345D}" mergeInterval="0" personalView="1" maximized="1" xWindow="1" yWindow="1" windowWidth="1440" windowHeight="633" activeSheetId="1"/>
    <customWorkbookView name="User415b - Личное представление" guid="{0EDC1FFF-2611-4DAC-98A8-22EC25025967}" mergeInterval="0" personalView="1" maximized="1" xWindow="1" yWindow="1" windowWidth="1916" windowHeight="808" activeSheetId="1"/>
    <customWorkbookView name="user416d - Личное представление" guid="{998E5F34-5F22-456C-AF6B-44B849DA5E75}" mergeInterval="0" personalView="1" maximized="1" xWindow="1" yWindow="1" windowWidth="1916" windowHeight="692" activeSheetId="1"/>
    <customWorkbookView name="User465b - Личное представление" guid="{471079C8-6E8B-4088-8968-A7D0C5B8653D}" mergeInterval="0" personalView="1" maximized="1" xWindow="1" yWindow="1" windowWidth="1920" windowHeight="850" activeSheetId="1"/>
    <customWorkbookView name="Use565c - Личное представление" guid="{A600D8D5-C13F-49F2-9D2C-FC8EA32AC551}" mergeInterval="0" personalView="1" maximized="1" xWindow="1" yWindow="1" windowWidth="1920" windowHeight="802" activeSheetId="1"/>
    <customWorkbookView name="user - Личное представление" guid="{868786DC-4C96-45F5-A272-3E03D4B934A0}" mergeInterval="0" personalView="1" maximized="1" xWindow="-8" yWindow="-8" windowWidth="1936" windowHeight="1056" activeSheetId="1"/>
    <customWorkbookView name="User569a - Личное представление" guid="{8FB1E024-9866-4CAD-B900-0CCFEA27B234}" mergeInterval="0" personalView="1" maximized="1" xWindow="1" yWindow="1" windowWidth="1920" windowHeight="850" activeSheetId="1"/>
    <customWorkbookView name="Танечка - Личное представление" guid="{BE1C4A44-01B5-4ECE-8D55-C71095D37032}" mergeInterval="0" personalView="1" maximized="1" xWindow="1" yWindow="1" windowWidth="1920" windowHeight="850" activeSheetId="1"/>
    <customWorkbookView name="Яна - Личное представление" guid="{9BFA17BE-4413-48EA-8DFA-9D7972E1D966}" mergeInterval="0" personalView="1" maximized="1" xWindow="1" yWindow="1" windowWidth="1920" windowHeight="850" activeSheetId="1"/>
    <customWorkbookView name="user459b - Личное представление" guid="{FA039D92-C83F-438E-BA9D-917452CA1B7F}" mergeInterval="0" personalView="1" maximized="1" xWindow="1" yWindow="1" windowWidth="1920" windowHeight="850" activeSheetId="1"/>
    <customWorkbookView name="user459a - Личное представление" guid="{8DA01475-C6A0-4A19-B7EB-B1C704431492}" mergeInterval="0" personalView="1" maximized="1" xWindow="1" yWindow="1" windowWidth="1904" windowHeight="838" activeSheetId="1"/>
    <customWorkbookView name="user457c - Личное представление" guid="{221AFC77-C97B-4D44-8163-7AA758A08BF9}" mergeInterval="0" personalView="1" maximized="1" xWindow="1" yWindow="1" windowWidth="1470" windowHeight="557" activeSheetId="1"/>
    <customWorkbookView name="User_569 - Личное представление" guid="{68CBFC64-03A4-4F74-B34E-EE1DB915A668}" mergeInterval="0" personalView="1" maximized="1" xWindow="1" yWindow="1" windowWidth="1904" windowHeight="837" activeSheetId="1"/>
    <customWorkbookView name="User563c - Личное представление" guid="{675C859F-867B-4E3E-8283-3B2C94BFA5E5}" mergeInterval="0" personalView="1" maximized="1" xWindow="1" yWindow="1" windowWidth="1920" windowHeight="802" activeSheetId="1"/>
    <customWorkbookView name="User465e - Личное представление" guid="{2C18B72E-FABC-405E-9989-871873679CB9}" mergeInterval="0" personalView="1" maximized="1" xWindow="1" yWindow="1" windowWidth="1920" windowHeight="850" activeSheetId="1"/>
    <customWorkbookView name="user465a - Личное представление" guid="{EF32CA8F-131B-41F0-AA31-167807ADE2D4}" mergeInterval="0" personalView="1" maximized="1" xWindow="1" yWindow="1" windowWidth="1873" windowHeight="831" activeSheetId="1"/>
    <customWorkbookView name="user563a - Личное представление" guid="{CFB0A04F-563D-4D2B-BCD3-ACFCDC70E584}" mergeInterval="0" personalView="1" maximized="1" xWindow="1" yWindow="1" windowWidth="1920" windowHeight="850" activeSheetId="1"/>
    <customWorkbookView name="User569c - Личное представление" guid="{BC4BF63E-98F8-4CE0-B0DE-A2A71C291EFE}" mergeInterval="0" personalView="1" maximized="1" xWindow="-8" yWindow="-8" windowWidth="1936" windowHeight="1056" activeSheetId="1"/>
    <customWorkbookView name="User415 - Личное представление" guid="{06B33669-D909-4CD8-806F-33C009B9DF0A}" mergeInterval="0" personalView="1" maximized="1" xWindow="1" yWindow="1" windowWidth="1920" windowHeight="850" activeSheetId="1"/>
    <customWorkbookView name="User459c - Личное представление" guid="{84AB9039-6109-4932-AA14-522BD4A30F0B}" mergeInterval="0" personalView="1" maximized="1" xWindow="1" yWindow="1" windowWidth="1920" windowHeight="913" activeSheetId="1"/>
    <customWorkbookView name="User416a - Личное представление" guid="{CFD58EC5-F475-4F0C-8822-861C497EA100}" mergeInterval="0" personalView="1" maximized="1" xWindow="1" yWindow="1" windowWidth="1891" windowHeight="822" activeSheetId="1" showComments="commIndAndComment"/>
    <customWorkbookView name="user416c - Личное представление" guid="{966D3932-E429-4C59-AC55-697D9EEA620A}" mergeInterval="0" personalView="1" maximized="1" xWindow="1" yWindow="1" windowWidth="1920" windowHeight="802" activeSheetId="1"/>
  </customWorkbookViews>
  <fileRecoveryPr autoRecover="0"/>
</workbook>
</file>

<file path=xl/calcChain.xml><?xml version="1.0" encoding="utf-8"?>
<calcChain xmlns="http://schemas.openxmlformats.org/spreadsheetml/2006/main">
  <c r="E268" i="1" l="1"/>
  <c r="E267" i="1"/>
  <c r="E250" i="1"/>
  <c r="E115" i="1"/>
  <c r="I245" i="1"/>
  <c r="I225" i="1"/>
  <c r="I211" i="1"/>
  <c r="I277" i="1"/>
  <c r="J239" i="1"/>
  <c r="I202" i="1"/>
  <c r="I218" i="1"/>
  <c r="J218" i="1"/>
  <c r="J165" i="1" l="1"/>
  <c r="F281" i="1"/>
  <c r="J211" i="1"/>
  <c r="J225" i="1"/>
  <c r="J245" i="1"/>
  <c r="F268" i="1"/>
  <c r="F267" i="1"/>
  <c r="E110" i="1" l="1"/>
  <c r="E109" i="1"/>
  <c r="F108" i="1"/>
  <c r="E108" i="1"/>
  <c r="E107" i="1"/>
  <c r="I106" i="1"/>
  <c r="F105" i="1"/>
  <c r="E105" i="1"/>
  <c r="E104" i="1"/>
  <c r="E103" i="1"/>
  <c r="E102" i="1"/>
  <c r="E101" i="1"/>
  <c r="E100" i="1"/>
  <c r="H99" i="1"/>
  <c r="D99" i="1"/>
  <c r="C99" i="1"/>
  <c r="F98" i="1"/>
  <c r="E98" i="1"/>
  <c r="D97" i="1"/>
  <c r="C97" i="1"/>
  <c r="I96" i="1"/>
  <c r="E95" i="1"/>
  <c r="E94" i="1"/>
  <c r="E93" i="1"/>
  <c r="I92" i="1"/>
  <c r="F92" i="1"/>
  <c r="E92" i="1"/>
  <c r="E91" i="1"/>
  <c r="F90" i="1"/>
  <c r="E90" i="1"/>
  <c r="E89" i="1"/>
  <c r="J88" i="1"/>
  <c r="I88" i="1"/>
  <c r="H87" i="1"/>
  <c r="G87" i="1"/>
  <c r="G84" i="1" s="1"/>
  <c r="D87" i="1"/>
  <c r="C87" i="1"/>
  <c r="F86" i="1"/>
  <c r="E86" i="1"/>
  <c r="F85" i="1"/>
  <c r="E85" i="1"/>
  <c r="J80" i="1"/>
  <c r="I80" i="1"/>
  <c r="I79" i="1"/>
  <c r="E78" i="1"/>
  <c r="E77" i="1"/>
  <c r="H76" i="1"/>
  <c r="G76" i="1"/>
  <c r="D76" i="1"/>
  <c r="C76" i="1"/>
  <c r="I75" i="1"/>
  <c r="I74" i="1"/>
  <c r="J73" i="1"/>
  <c r="I73" i="1"/>
  <c r="F71" i="1"/>
  <c r="E71" i="1"/>
  <c r="I70" i="1"/>
  <c r="F69" i="1"/>
  <c r="E69" i="1"/>
  <c r="F68" i="1"/>
  <c r="E68" i="1"/>
  <c r="H67" i="1"/>
  <c r="G67" i="1"/>
  <c r="G66" i="1" s="1"/>
  <c r="G46" i="1" s="1"/>
  <c r="D67" i="1"/>
  <c r="D66" i="1" s="1"/>
  <c r="C67" i="1"/>
  <c r="C66" i="1" s="1"/>
  <c r="F65" i="1"/>
  <c r="E65" i="1"/>
  <c r="E64" i="1"/>
  <c r="F63" i="1"/>
  <c r="E63" i="1"/>
  <c r="D62" i="1"/>
  <c r="C62" i="1"/>
  <c r="F61" i="1"/>
  <c r="E61" i="1"/>
  <c r="F60" i="1"/>
  <c r="E60" i="1"/>
  <c r="F59" i="1"/>
  <c r="E59" i="1"/>
  <c r="E58" i="1"/>
  <c r="F57" i="1"/>
  <c r="E57" i="1"/>
  <c r="F56" i="1"/>
  <c r="E56" i="1"/>
  <c r="D55" i="1"/>
  <c r="C55" i="1"/>
  <c r="F53" i="1"/>
  <c r="E53" i="1"/>
  <c r="F52" i="1"/>
  <c r="E52" i="1"/>
  <c r="E51" i="1"/>
  <c r="F50" i="1"/>
  <c r="E50" i="1"/>
  <c r="E49" i="1"/>
  <c r="E48" i="1"/>
  <c r="D47" i="1"/>
  <c r="C47" i="1"/>
  <c r="E45" i="1"/>
  <c r="J44" i="1"/>
  <c r="I44" i="1"/>
  <c r="E43" i="1"/>
  <c r="F42" i="1"/>
  <c r="E42" i="1"/>
  <c r="F41" i="1"/>
  <c r="E41" i="1"/>
  <c r="D40" i="1"/>
  <c r="C40" i="1"/>
  <c r="F39" i="1"/>
  <c r="E39" i="1"/>
  <c r="F38" i="1"/>
  <c r="E38" i="1"/>
  <c r="D37" i="1"/>
  <c r="C37" i="1"/>
  <c r="F36" i="1"/>
  <c r="E36" i="1"/>
  <c r="F35" i="1"/>
  <c r="E35" i="1"/>
  <c r="F34" i="1"/>
  <c r="E34" i="1"/>
  <c r="F33" i="1"/>
  <c r="E33" i="1"/>
  <c r="F32" i="1"/>
  <c r="E32" i="1"/>
  <c r="F31" i="1"/>
  <c r="E31" i="1"/>
  <c r="F30" i="1"/>
  <c r="E30" i="1"/>
  <c r="F29" i="1"/>
  <c r="E29" i="1"/>
  <c r="F28" i="1"/>
  <c r="E28" i="1"/>
  <c r="F27" i="1"/>
  <c r="E27" i="1"/>
  <c r="D26" i="1"/>
  <c r="C26" i="1"/>
  <c r="F24" i="1"/>
  <c r="E24" i="1"/>
  <c r="E23" i="1"/>
  <c r="D22" i="1"/>
  <c r="C22" i="1"/>
  <c r="F21" i="1"/>
  <c r="E21" i="1"/>
  <c r="D20" i="1"/>
  <c r="C20" i="1"/>
  <c r="C19" i="1" s="1"/>
  <c r="F18" i="1"/>
  <c r="E18" i="1"/>
  <c r="E17" i="1"/>
  <c r="D16" i="1"/>
  <c r="C16" i="1"/>
  <c r="F15" i="1"/>
  <c r="E15" i="1"/>
  <c r="E14" i="1"/>
  <c r="E13" i="1"/>
  <c r="F12" i="1"/>
  <c r="E12" i="1"/>
  <c r="F11" i="1"/>
  <c r="E11" i="1"/>
  <c r="D10" i="1"/>
  <c r="C10" i="1"/>
  <c r="H8" i="1"/>
  <c r="G8" i="1"/>
  <c r="E62" i="1" l="1"/>
  <c r="D9" i="1"/>
  <c r="J8" i="1"/>
  <c r="F55" i="1"/>
  <c r="E26" i="1"/>
  <c r="E40" i="1"/>
  <c r="I67" i="1"/>
  <c r="E97" i="1"/>
  <c r="C54" i="1"/>
  <c r="C46" i="1" s="1"/>
  <c r="E47" i="1"/>
  <c r="J87" i="1"/>
  <c r="I8" i="1"/>
  <c r="E10" i="1"/>
  <c r="F67" i="1"/>
  <c r="E87" i="1"/>
  <c r="C9" i="1"/>
  <c r="E22" i="1"/>
  <c r="E66" i="1"/>
  <c r="E76" i="1"/>
  <c r="I87" i="1"/>
  <c r="F87" i="1"/>
  <c r="H84" i="1"/>
  <c r="E16" i="1"/>
  <c r="I76" i="1"/>
  <c r="F10" i="1"/>
  <c r="F62" i="1"/>
  <c r="C25" i="1"/>
  <c r="H66" i="1"/>
  <c r="E67" i="1"/>
  <c r="C84" i="1"/>
  <c r="G83" i="1"/>
  <c r="G111" i="1" s="1"/>
  <c r="E20" i="1"/>
  <c r="E37" i="1"/>
  <c r="D54" i="1"/>
  <c r="E55" i="1"/>
  <c r="D19" i="1"/>
  <c r="F66" i="1"/>
  <c r="D84" i="1"/>
  <c r="E99" i="1"/>
  <c r="D25" i="1"/>
  <c r="F20" i="1"/>
  <c r="F26" i="1"/>
  <c r="F37" i="1"/>
  <c r="F40" i="1"/>
  <c r="F97" i="1"/>
  <c r="I99" i="1"/>
  <c r="F99" i="1"/>
  <c r="E9" i="1" l="1"/>
  <c r="C8" i="1"/>
  <c r="C83" i="1" s="1"/>
  <c r="C111" i="1" s="1"/>
  <c r="E19" i="1"/>
  <c r="I84" i="1"/>
  <c r="E84" i="1"/>
  <c r="J84" i="1"/>
  <c r="F9" i="1"/>
  <c r="F84" i="1"/>
  <c r="F19" i="1"/>
  <c r="I66" i="1"/>
  <c r="H46" i="1"/>
  <c r="F54" i="1"/>
  <c r="D46" i="1"/>
  <c r="E54" i="1"/>
  <c r="E25" i="1"/>
  <c r="F25" i="1"/>
  <c r="D8" i="1"/>
  <c r="I46" i="1" l="1"/>
  <c r="H83" i="1"/>
  <c r="F46" i="1"/>
  <c r="E46" i="1"/>
  <c r="D83" i="1"/>
  <c r="E8" i="1"/>
  <c r="F8" i="1"/>
  <c r="H111" i="1" l="1"/>
  <c r="I83" i="1"/>
  <c r="D111" i="1"/>
  <c r="E83" i="1"/>
  <c r="F83" i="1"/>
  <c r="I111" i="1" l="1"/>
  <c r="F111" i="1"/>
  <c r="E111" i="1"/>
  <c r="H244" i="1" l="1"/>
  <c r="H206" i="1"/>
  <c r="H150" i="1"/>
  <c r="H120" i="1" l="1"/>
  <c r="H118" i="1"/>
  <c r="D207" i="1"/>
  <c r="H207" i="1"/>
  <c r="C279" i="1"/>
  <c r="C162" i="1"/>
  <c r="G244" i="1"/>
  <c r="C243" i="1"/>
  <c r="D243" i="1"/>
  <c r="G209" i="1"/>
  <c r="C209" i="1"/>
  <c r="F209" i="1" s="1"/>
  <c r="G159" i="1"/>
  <c r="G158" i="1"/>
  <c r="G120" i="1"/>
  <c r="G133" i="1"/>
  <c r="H131" i="1"/>
  <c r="G131" i="1"/>
  <c r="D131" i="1"/>
  <c r="C131" i="1"/>
  <c r="G128" i="1"/>
  <c r="G121" i="1"/>
  <c r="G118" i="1"/>
  <c r="J268" i="1"/>
  <c r="I268" i="1"/>
  <c r="J206" i="1"/>
  <c r="J132" i="1"/>
  <c r="J127" i="1"/>
  <c r="J126" i="1"/>
  <c r="J247" i="1"/>
  <c r="I247" i="1"/>
  <c r="J289" i="1"/>
  <c r="J288" i="1"/>
  <c r="H243" i="1"/>
  <c r="F257" i="1"/>
  <c r="E257" i="1"/>
  <c r="J272" i="1"/>
  <c r="I261" i="1"/>
  <c r="J258" i="1"/>
  <c r="I258" i="1"/>
  <c r="J257" i="1"/>
  <c r="I257" i="1"/>
  <c r="J254" i="1"/>
  <c r="I254" i="1"/>
  <c r="I241" i="1"/>
  <c r="I240" i="1"/>
  <c r="I239" i="1"/>
  <c r="J234" i="1"/>
  <c r="I234" i="1"/>
  <c r="C280" i="1"/>
  <c r="C270" i="1"/>
  <c r="C269" i="1" s="1"/>
  <c r="G269" i="1"/>
  <c r="I233" i="1"/>
  <c r="I230" i="1"/>
  <c r="G260" i="1"/>
  <c r="E256" i="1"/>
  <c r="C229" i="1"/>
  <c r="C232" i="1"/>
  <c r="C231" i="1"/>
  <c r="C228" i="1"/>
  <c r="J114" i="1"/>
  <c r="C114" i="1"/>
  <c r="C116" i="1"/>
  <c r="I150" i="1"/>
  <c r="D150" i="1"/>
  <c r="C150" i="1"/>
  <c r="H148" i="1"/>
  <c r="H145" i="1"/>
  <c r="G145" i="1"/>
  <c r="H142" i="1"/>
  <c r="G142" i="1"/>
  <c r="I144" i="1"/>
  <c r="I143" i="1"/>
  <c r="I162" i="1"/>
  <c r="D163" i="1"/>
  <c r="C163" i="1"/>
  <c r="F164" i="1"/>
  <c r="E164" i="1"/>
  <c r="I210" i="1"/>
  <c r="D261" i="1"/>
  <c r="D259" i="1"/>
  <c r="H275" i="1"/>
  <c r="D275" i="1"/>
  <c r="H232" i="1"/>
  <c r="H228" i="1"/>
  <c r="D231" i="1"/>
  <c r="D232" i="1"/>
  <c r="D229" i="1"/>
  <c r="D228" i="1"/>
  <c r="I156" i="1"/>
  <c r="I149" i="1"/>
  <c r="F125" i="1"/>
  <c r="E125" i="1"/>
  <c r="J196" i="1"/>
  <c r="F192" i="1"/>
  <c r="F187" i="1"/>
  <c r="F185" i="1"/>
  <c r="F183" i="1"/>
  <c r="F181" i="1"/>
  <c r="F178" i="1"/>
  <c r="F177" i="1"/>
  <c r="F174" i="1"/>
  <c r="F172" i="1"/>
  <c r="F171" i="1"/>
  <c r="E178" i="1"/>
  <c r="E177" i="1"/>
  <c r="I181" i="1"/>
  <c r="I185" i="1"/>
  <c r="H184" i="1"/>
  <c r="G184" i="1"/>
  <c r="I199" i="1"/>
  <c r="J198" i="1"/>
  <c r="I198" i="1"/>
  <c r="J197" i="1"/>
  <c r="I197" i="1"/>
  <c r="I196" i="1"/>
  <c r="H195" i="1"/>
  <c r="G195" i="1"/>
  <c r="D202" i="1"/>
  <c r="D201" i="1"/>
  <c r="D193" i="1"/>
  <c r="D191" i="1"/>
  <c r="D179" i="1"/>
  <c r="H175" i="1"/>
  <c r="D175" i="1"/>
  <c r="F175" i="1" s="1"/>
  <c r="D170" i="1"/>
  <c r="D168" i="1" s="1"/>
  <c r="C202" i="1"/>
  <c r="G201" i="1"/>
  <c r="C201" i="1"/>
  <c r="C191" i="1"/>
  <c r="C176" i="1"/>
  <c r="D162" i="1"/>
  <c r="H159" i="1"/>
  <c r="H158" i="1"/>
  <c r="D114" i="1"/>
  <c r="D116" i="1"/>
  <c r="C119" i="1"/>
  <c r="H220" i="1"/>
  <c r="F221" i="1"/>
  <c r="E221" i="1"/>
  <c r="I165" i="1"/>
  <c r="I183" i="1"/>
  <c r="J224" i="1"/>
  <c r="I224" i="1"/>
  <c r="I289" i="1"/>
  <c r="I288" i="1"/>
  <c r="I287" i="1"/>
  <c r="F287" i="1"/>
  <c r="E287" i="1"/>
  <c r="I217" i="1"/>
  <c r="E240" i="1"/>
  <c r="E238" i="1"/>
  <c r="F233" i="1"/>
  <c r="E233" i="1"/>
  <c r="E230" i="1"/>
  <c r="E214" i="1"/>
  <c r="E215" i="1"/>
  <c r="I246" i="1"/>
  <c r="I250" i="1"/>
  <c r="I249" i="1"/>
  <c r="I272" i="1"/>
  <c r="H269" i="1"/>
  <c r="I281" i="1"/>
  <c r="H279" i="1"/>
  <c r="G279" i="1"/>
  <c r="D279" i="1"/>
  <c r="E281" i="1"/>
  <c r="E246" i="1"/>
  <c r="C219" i="1"/>
  <c r="C275" i="1"/>
  <c r="F277" i="1"/>
  <c r="E277" i="1"/>
  <c r="H280" i="1"/>
  <c r="G280" i="1"/>
  <c r="D280" i="1"/>
  <c r="F280" i="1" s="1"/>
  <c r="H119" i="1" l="1"/>
  <c r="I209" i="1"/>
  <c r="J209" i="1"/>
  <c r="I232" i="1"/>
  <c r="I131" i="1"/>
  <c r="F279" i="1"/>
  <c r="J131" i="1"/>
  <c r="I275" i="1"/>
  <c r="I148" i="1"/>
  <c r="H204" i="1"/>
  <c r="E150" i="1"/>
  <c r="I195" i="1"/>
  <c r="E131" i="1"/>
  <c r="F131" i="1"/>
  <c r="I142" i="1"/>
  <c r="J269" i="1"/>
  <c r="C207" i="1"/>
  <c r="J158" i="1"/>
  <c r="F201" i="1"/>
  <c r="G207" i="1"/>
  <c r="I269" i="1"/>
  <c r="D176" i="1"/>
  <c r="F116" i="1"/>
  <c r="F231" i="1"/>
  <c r="E279" i="1"/>
  <c r="G243" i="1"/>
  <c r="I145" i="1"/>
  <c r="E231" i="1"/>
  <c r="I184" i="1"/>
  <c r="E179" i="1"/>
  <c r="J195" i="1"/>
  <c r="E243" i="1"/>
  <c r="E280" i="1"/>
  <c r="E176" i="1" l="1"/>
  <c r="I208" i="1"/>
  <c r="I206" i="1"/>
  <c r="I203" i="1"/>
  <c r="I175" i="1"/>
  <c r="E172" i="1"/>
  <c r="D270" i="1"/>
  <c r="D269" i="1" l="1"/>
  <c r="I121" i="1"/>
  <c r="I114" i="1"/>
  <c r="E116" i="1"/>
  <c r="F264" i="1" l="1"/>
  <c r="H200" i="1"/>
  <c r="I153" i="1"/>
  <c r="G222" i="1"/>
  <c r="I154" i="1"/>
  <c r="I152" i="1"/>
  <c r="I151" i="1"/>
  <c r="I147" i="1"/>
  <c r="I146" i="1"/>
  <c r="E224" i="1"/>
  <c r="D213" i="1"/>
  <c r="I158" i="1"/>
  <c r="F141" i="1"/>
  <c r="F132" i="1"/>
  <c r="F134" i="1"/>
  <c r="F135" i="1"/>
  <c r="F137" i="1"/>
  <c r="F138" i="1"/>
  <c r="F139" i="1"/>
  <c r="F126" i="1"/>
  <c r="F127" i="1"/>
  <c r="F129" i="1"/>
  <c r="F130" i="1"/>
  <c r="F123" i="1"/>
  <c r="F124" i="1"/>
  <c r="F118" i="1"/>
  <c r="E141" i="1"/>
  <c r="E151" i="1"/>
  <c r="F121" i="1"/>
  <c r="F120" i="1"/>
  <c r="H161" i="1"/>
  <c r="J207" i="1"/>
  <c r="E186" i="1"/>
  <c r="E185" i="1"/>
  <c r="E182" i="1"/>
  <c r="D184" i="1"/>
  <c r="G180" i="1"/>
  <c r="C184" i="1"/>
  <c r="J222" i="1" l="1"/>
  <c r="I161" i="1"/>
  <c r="F184" i="1"/>
  <c r="I120" i="1"/>
  <c r="I118" i="1"/>
  <c r="E202" i="1"/>
  <c r="G200" i="1"/>
  <c r="I200" i="1" s="1"/>
  <c r="I201" i="1"/>
  <c r="J201" i="1"/>
  <c r="D180" i="1"/>
  <c r="E183" i="1"/>
  <c r="I222" i="1"/>
  <c r="H157" i="1"/>
  <c r="E184" i="1"/>
  <c r="C128" i="1"/>
  <c r="G265" i="1" l="1"/>
  <c r="I265" i="1" s="1"/>
  <c r="C265" i="1"/>
  <c r="D265" i="1"/>
  <c r="J265" i="1" l="1"/>
  <c r="F265" i="1"/>
  <c r="F223" i="1"/>
  <c r="H260" i="1" l="1"/>
  <c r="D260" i="1"/>
  <c r="C260" i="1"/>
  <c r="D235" i="1"/>
  <c r="C235" i="1"/>
  <c r="H180" i="1"/>
  <c r="C180" i="1"/>
  <c r="J244" i="1"/>
  <c r="I244" i="1"/>
  <c r="H219" i="1"/>
  <c r="D219" i="1"/>
  <c r="H216" i="1"/>
  <c r="G216" i="1"/>
  <c r="D216" i="1"/>
  <c r="C216" i="1"/>
  <c r="E181" i="1"/>
  <c r="E175" i="1"/>
  <c r="D255" i="1" l="1"/>
  <c r="F180" i="1"/>
  <c r="H255" i="1"/>
  <c r="I260" i="1"/>
  <c r="E216" i="1"/>
  <c r="I180" i="1"/>
  <c r="F162" i="1"/>
  <c r="E162" i="1"/>
  <c r="G157" i="1"/>
  <c r="C161" i="1"/>
  <c r="E193" i="1"/>
  <c r="D190" i="1" l="1"/>
  <c r="H227" i="1"/>
  <c r="G227" i="1"/>
  <c r="G226" i="1" s="1"/>
  <c r="D227" i="1"/>
  <c r="C227" i="1"/>
  <c r="H226" i="1" l="1"/>
  <c r="G219" i="1"/>
  <c r="D263" i="1"/>
  <c r="I226" i="1" l="1"/>
  <c r="D262" i="1"/>
  <c r="G212" i="1"/>
  <c r="E155" i="1"/>
  <c r="E295" i="1" l="1"/>
  <c r="D297" i="1"/>
  <c r="C297" i="1"/>
  <c r="D294" i="1"/>
  <c r="E294" i="1" l="1"/>
  <c r="F236" i="1" l="1"/>
  <c r="I137" i="1" l="1"/>
  <c r="C136" i="1"/>
  <c r="C133" i="1"/>
  <c r="I136" i="1" l="1"/>
  <c r="F234" i="1" l="1"/>
  <c r="D161" i="1"/>
  <c r="E161" i="1" l="1"/>
  <c r="D157" i="1"/>
  <c r="F161" i="1"/>
  <c r="C200" i="1"/>
  <c r="G253" i="1"/>
  <c r="J264" i="1"/>
  <c r="D188" i="1"/>
  <c r="C188" i="1"/>
  <c r="G255" i="1" l="1"/>
  <c r="J255" i="1" l="1"/>
  <c r="I255" i="1"/>
  <c r="D119" i="1"/>
  <c r="D226" i="1" l="1"/>
  <c r="D253" i="1"/>
  <c r="D251" i="1"/>
  <c r="J282" i="1"/>
  <c r="D248" i="1" l="1"/>
  <c r="G248" i="1"/>
  <c r="J194" i="1" l="1"/>
  <c r="E140" i="1" l="1"/>
  <c r="C122" i="1"/>
  <c r="C117" i="1" s="1"/>
  <c r="F119" i="1"/>
  <c r="C157" i="1" l="1"/>
  <c r="F163" i="1"/>
  <c r="E163" i="1"/>
  <c r="C226" i="1"/>
  <c r="E261" i="1"/>
  <c r="F261" i="1"/>
  <c r="E254" i="1"/>
  <c r="C213" i="1"/>
  <c r="I159" i="1"/>
  <c r="C253" i="1"/>
  <c r="J228" i="1"/>
  <c r="F228" i="1"/>
  <c r="F252" i="1"/>
  <c r="E252" i="1"/>
  <c r="E213" i="1" l="1"/>
  <c r="F235" i="1"/>
  <c r="F254" i="1"/>
  <c r="J243" i="1" l="1"/>
  <c r="I243" i="1"/>
  <c r="E139" i="1"/>
  <c r="E138" i="1"/>
  <c r="E137" i="1"/>
  <c r="E135" i="1"/>
  <c r="E134" i="1"/>
  <c r="E132" i="1"/>
  <c r="E130" i="1"/>
  <c r="E129" i="1"/>
  <c r="E126" i="1"/>
  <c r="E124" i="1"/>
  <c r="E123" i="1"/>
  <c r="E121" i="1"/>
  <c r="E118" i="1"/>
  <c r="E120" i="1"/>
  <c r="C251" i="1"/>
  <c r="C255" i="1"/>
  <c r="H113" i="1"/>
  <c r="G113" i="1"/>
  <c r="E236" i="1"/>
  <c r="E259" i="1"/>
  <c r="F276" i="1"/>
  <c r="E276" i="1"/>
  <c r="F255" i="1" l="1"/>
  <c r="E255" i="1"/>
  <c r="J113" i="1"/>
  <c r="I113" i="1"/>
  <c r="E251" i="1"/>
  <c r="F232" i="1"/>
  <c r="I194" i="1"/>
  <c r="E127" i="1"/>
  <c r="D122" i="1"/>
  <c r="F170" i="1"/>
  <c r="F169" i="1"/>
  <c r="F122" i="1" l="1"/>
  <c r="C190" i="1"/>
  <c r="H253" i="1" l="1"/>
  <c r="H248" i="1" l="1"/>
  <c r="I253" i="1"/>
  <c r="J253" i="1"/>
  <c r="E234" i="1"/>
  <c r="I248" i="1" l="1"/>
  <c r="H242" i="1"/>
  <c r="G242" i="1" l="1"/>
  <c r="I242" i="1" s="1"/>
  <c r="J242" i="1" l="1"/>
  <c r="E119" i="1"/>
  <c r="F288" i="1" l="1"/>
  <c r="F251" i="1" l="1"/>
  <c r="D136" i="1"/>
  <c r="F229" i="1"/>
  <c r="F136" i="1" l="1"/>
  <c r="C113" i="1"/>
  <c r="C299" i="1" l="1"/>
  <c r="C301" i="1" s="1"/>
  <c r="I228" i="1" l="1"/>
  <c r="I220" i="1"/>
  <c r="H133" i="1"/>
  <c r="F300" i="1"/>
  <c r="E300" i="1"/>
  <c r="F253" i="1"/>
  <c r="F260" i="1"/>
  <c r="D222" i="1"/>
  <c r="H117" i="1" l="1"/>
  <c r="I207" i="1"/>
  <c r="E226" i="1"/>
  <c r="E253" i="1"/>
  <c r="E201" i="1"/>
  <c r="E192" i="1"/>
  <c r="E191" i="1"/>
  <c r="E189" i="1"/>
  <c r="E187" i="1"/>
  <c r="E174" i="1"/>
  <c r="E171" i="1"/>
  <c r="E170" i="1"/>
  <c r="E169" i="1"/>
  <c r="D173" i="1"/>
  <c r="D200" i="1"/>
  <c r="D128" i="1"/>
  <c r="D133" i="1"/>
  <c r="F200" i="1" l="1"/>
  <c r="F133" i="1"/>
  <c r="D117" i="1"/>
  <c r="D167" i="1"/>
  <c r="F128" i="1"/>
  <c r="G286" i="1"/>
  <c r="G285" i="1" s="1"/>
  <c r="G263" i="1"/>
  <c r="G173" i="1"/>
  <c r="G167" i="1" s="1"/>
  <c r="G119" i="1"/>
  <c r="C286" i="1"/>
  <c r="C263" i="1"/>
  <c r="C248" i="1"/>
  <c r="E235" i="1"/>
  <c r="C222" i="1"/>
  <c r="C204" i="1"/>
  <c r="C173" i="1"/>
  <c r="F173" i="1" s="1"/>
  <c r="C168" i="1"/>
  <c r="E136" i="1"/>
  <c r="E133" i="1"/>
  <c r="E128" i="1"/>
  <c r="G117" i="1" l="1"/>
  <c r="E222" i="1"/>
  <c r="C262" i="1"/>
  <c r="G262" i="1"/>
  <c r="C167" i="1"/>
  <c r="E167" i="1" s="1"/>
  <c r="I119" i="1"/>
  <c r="E117" i="1"/>
  <c r="F117" i="1"/>
  <c r="E180" i="1"/>
  <c r="F263" i="1"/>
  <c r="F222" i="1"/>
  <c r="E248" i="1"/>
  <c r="F248" i="1"/>
  <c r="F168" i="1"/>
  <c r="E122" i="1"/>
  <c r="E173" i="1"/>
  <c r="E200" i="1"/>
  <c r="C285" i="1"/>
  <c r="E190" i="1"/>
  <c r="E188" i="1"/>
  <c r="G204" i="1"/>
  <c r="C242" i="1"/>
  <c r="E260" i="1"/>
  <c r="C212" i="1"/>
  <c r="I117" i="1" l="1"/>
  <c r="C290" i="1"/>
  <c r="G290" i="1"/>
  <c r="I134" i="1"/>
  <c r="I132" i="1"/>
  <c r="I129" i="1"/>
  <c r="I127" i="1"/>
  <c r="I126" i="1"/>
  <c r="C274" i="1" l="1"/>
  <c r="C278" i="1" s="1"/>
  <c r="I128" i="1"/>
  <c r="I133" i="1"/>
  <c r="C283" i="1" l="1"/>
  <c r="I174" i="1"/>
  <c r="H173" i="1"/>
  <c r="H286" i="1"/>
  <c r="H167" i="1" l="1"/>
  <c r="I286" i="1"/>
  <c r="J286" i="1"/>
  <c r="H285" i="1"/>
  <c r="E168" i="1"/>
  <c r="I173" i="1"/>
  <c r="F227" i="1"/>
  <c r="E227" i="1"/>
  <c r="D299" i="1"/>
  <c r="I285" i="1" l="1"/>
  <c r="J285" i="1"/>
  <c r="D301" i="1"/>
  <c r="F299" i="1"/>
  <c r="E299" i="1"/>
  <c r="I167" i="1"/>
  <c r="F167" i="1"/>
  <c r="E301" i="1" l="1"/>
  <c r="H263" i="1"/>
  <c r="H262" i="1" l="1"/>
  <c r="I263" i="1"/>
  <c r="J263" i="1"/>
  <c r="J227" i="1"/>
  <c r="I227" i="1"/>
  <c r="I262" i="1" l="1"/>
  <c r="J262" i="1"/>
  <c r="D204" i="1"/>
  <c r="E114" i="1" l="1"/>
  <c r="D113" i="1" l="1"/>
  <c r="E158" i="1" l="1"/>
  <c r="D286" i="1" l="1"/>
  <c r="F114" i="1"/>
  <c r="F286" i="1" l="1"/>
  <c r="D285" i="1"/>
  <c r="H290" i="1"/>
  <c r="F113" i="1"/>
  <c r="E113" i="1"/>
  <c r="I290" i="1" l="1"/>
  <c r="J290" i="1"/>
  <c r="F285" i="1"/>
  <c r="D290" i="1"/>
  <c r="F290" i="1" l="1"/>
  <c r="F160" i="1"/>
  <c r="E160" i="1"/>
  <c r="E159" i="1"/>
  <c r="F158" i="1"/>
  <c r="F226" i="1"/>
  <c r="F298" i="1"/>
  <c r="F297" i="1"/>
  <c r="F224" i="1"/>
  <c r="F218" i="1"/>
  <c r="F217" i="1"/>
  <c r="F208" i="1"/>
  <c r="F206" i="1"/>
  <c r="F205" i="1"/>
  <c r="F275" i="1" l="1"/>
  <c r="E275" i="1"/>
  <c r="I157" i="1" l="1"/>
  <c r="J157" i="1"/>
  <c r="F157" i="1"/>
  <c r="E157" i="1"/>
  <c r="F220" i="1"/>
  <c r="I264" i="1"/>
  <c r="F216" i="1" l="1"/>
  <c r="E205" i="1" l="1"/>
  <c r="I205" i="1"/>
  <c r="E206" i="1"/>
  <c r="E208" i="1"/>
  <c r="E209" i="1"/>
  <c r="E217" i="1"/>
  <c r="E218" i="1"/>
  <c r="E220" i="1"/>
  <c r="E223" i="1"/>
  <c r="E228" i="1"/>
  <c r="E229" i="1"/>
  <c r="E232" i="1"/>
  <c r="I282" i="1"/>
  <c r="E285" i="1"/>
  <c r="E286" i="1"/>
  <c r="E288" i="1"/>
  <c r="E290" i="1"/>
  <c r="E297" i="1"/>
  <c r="E298" i="1"/>
  <c r="J279" i="1" l="1"/>
  <c r="J280" i="1"/>
  <c r="D242" i="1"/>
  <c r="I280" i="1"/>
  <c r="I279" i="1"/>
  <c r="I216" i="1"/>
  <c r="F219" i="1"/>
  <c r="F207" i="1"/>
  <c r="D212" i="1"/>
  <c r="E219" i="1"/>
  <c r="H212" i="1"/>
  <c r="E207" i="1"/>
  <c r="F212" i="1" l="1"/>
  <c r="I204" i="1"/>
  <c r="J204" i="1"/>
  <c r="I212" i="1"/>
  <c r="I219" i="1"/>
  <c r="H274" i="1"/>
  <c r="F204" i="1"/>
  <c r="E204" i="1"/>
  <c r="E212" i="1"/>
  <c r="F242" i="1" l="1"/>
  <c r="E242" i="1"/>
  <c r="H278" i="1"/>
  <c r="H283" i="1" l="1"/>
  <c r="G274" i="1" l="1"/>
  <c r="J274" i="1" l="1"/>
  <c r="I274" i="1"/>
  <c r="G278" i="1"/>
  <c r="J278" i="1" l="1"/>
  <c r="I278" i="1"/>
  <c r="G283" i="1"/>
  <c r="J283" i="1" l="1"/>
  <c r="I283" i="1"/>
  <c r="E263" i="1" l="1"/>
  <c r="E264" i="1"/>
  <c r="E271" i="1"/>
  <c r="E270" i="1" s="1"/>
  <c r="E273" i="1"/>
  <c r="E269" i="1"/>
  <c r="E266" i="1"/>
  <c r="E265" i="1" s="1"/>
  <c r="F262" i="1"/>
  <c r="D274" i="1" l="1"/>
  <c r="E262" i="1"/>
  <c r="F274" i="1" l="1"/>
  <c r="D278" i="1"/>
  <c r="E274" i="1"/>
  <c r="D283" i="1" l="1"/>
  <c r="F278" i="1"/>
  <c r="E278" i="1"/>
  <c r="E283" i="1" l="1"/>
  <c r="F283" i="1"/>
</calcChain>
</file>

<file path=xl/sharedStrings.xml><?xml version="1.0" encoding="utf-8"?>
<sst xmlns="http://schemas.openxmlformats.org/spreadsheetml/2006/main" count="555" uniqueCount="504">
  <si>
    <t>Загальний фонд</t>
  </si>
  <si>
    <t>Спеціальний фонд</t>
  </si>
  <si>
    <t>Код бюджетної класифікації</t>
  </si>
  <si>
    <t>Найменування коду згідно із бюджетною класифікацією</t>
  </si>
  <si>
    <t>Державне управління</t>
  </si>
  <si>
    <t>Органи місцевого самоврядування</t>
  </si>
  <si>
    <t>Освіта</t>
  </si>
  <si>
    <t>Охорона здоров'я</t>
  </si>
  <si>
    <t>Соціальний захист та соціальне забезпечення</t>
  </si>
  <si>
    <t>Житлово-комунальне господарство</t>
  </si>
  <si>
    <t>Культура і мистецтво</t>
  </si>
  <si>
    <t>Фізична культура і спорт</t>
  </si>
  <si>
    <t>Компенсаційні виплати на пільговий проїзд автомобільним транспортом окремим категоріям громадян</t>
  </si>
  <si>
    <t>МІЖБЮДЖЕТНІ ТРАНСФЕРТИ</t>
  </si>
  <si>
    <t>ВСЬОГО ВИДАТКІВ З КРЕДИТУВАННЯМ</t>
  </si>
  <si>
    <t xml:space="preserve">РАЗОМ ВИДАТКИ </t>
  </si>
  <si>
    <t xml:space="preserve"> КРЕДИТУВАННЯ </t>
  </si>
  <si>
    <t xml:space="preserve">ВСЬОГО ВИДАТКІВ </t>
  </si>
  <si>
    <t xml:space="preserve">ФІНАНСУВАННЯ </t>
  </si>
  <si>
    <t>Дефіцит (-)/профіцит (+)</t>
  </si>
  <si>
    <t>Внутрішнє фінансування</t>
  </si>
  <si>
    <t>Фінансування за рахунок залишків коштів на рахунках бюджетних установ</t>
  </si>
  <si>
    <t>Фінансування за рахунок зміни залишків коштів бюджетів</t>
  </si>
  <si>
    <t>Разом коштів, отриманих з усіх джерел фінансування бюджету за типом кредитора</t>
  </si>
  <si>
    <t>Внутрішній борг</t>
  </si>
  <si>
    <t>Класифікація боргу за типом боргового зобов"язання</t>
  </si>
  <si>
    <t>Заборгованість за середньостроковими зобов"язаннями (позики за рахунок ресурсів єдиного казначейського рахунка)</t>
  </si>
  <si>
    <t>Відхилення, тис. грн.</t>
  </si>
  <si>
    <t>Темп зростання, %</t>
  </si>
  <si>
    <t>0100</t>
  </si>
  <si>
    <t>1000</t>
  </si>
  <si>
    <t>1010</t>
  </si>
  <si>
    <t>1020</t>
  </si>
  <si>
    <t>1030</t>
  </si>
  <si>
    <t>1090</t>
  </si>
  <si>
    <t>2000</t>
  </si>
  <si>
    <t>2010</t>
  </si>
  <si>
    <t>Багатопрофільна стаціонарна медична допомога населенню</t>
  </si>
  <si>
    <t>3000</t>
  </si>
  <si>
    <t>3030</t>
  </si>
  <si>
    <t>3031</t>
  </si>
  <si>
    <t>3033</t>
  </si>
  <si>
    <t>3050</t>
  </si>
  <si>
    <t>3090</t>
  </si>
  <si>
    <t>3100</t>
  </si>
  <si>
    <t>3104</t>
  </si>
  <si>
    <t>3105</t>
  </si>
  <si>
    <t>3190</t>
  </si>
  <si>
    <t>3240</t>
  </si>
  <si>
    <t>Пільгове медичне обслуговування осіб, які постраждали внаслідок Чорнобильської катастрофи</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</si>
  <si>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</si>
  <si>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Здійснення соціальної роботи з вразливими категоріями населення</t>
  </si>
  <si>
    <t>Соціальний захист ветеранів війни та праці</t>
  </si>
  <si>
    <t>6000</t>
  </si>
  <si>
    <t>6010</t>
  </si>
  <si>
    <t>4000</t>
  </si>
  <si>
    <t>4060</t>
  </si>
  <si>
    <t>5000</t>
  </si>
  <si>
    <t>Проведення спортивної роботи в регіоні</t>
  </si>
  <si>
    <t>5010</t>
  </si>
  <si>
    <t>5011</t>
  </si>
  <si>
    <t>5012</t>
  </si>
  <si>
    <t>5030</t>
  </si>
  <si>
    <t>5031</t>
  </si>
  <si>
    <t>5033</t>
  </si>
  <si>
    <t>5040</t>
  </si>
  <si>
    <t>5041</t>
  </si>
  <si>
    <t>5060</t>
  </si>
  <si>
    <t>5062</t>
  </si>
  <si>
    <t>5063</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</si>
  <si>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</si>
  <si>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</si>
  <si>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Проведення навчально-тренувальних зборів і змагань та заходів з інвалідного спорту</t>
  </si>
  <si>
    <t>Утримання та навчально-тренувальна робота комунальних дитячо-юнацьких спортивних шкіл</t>
  </si>
  <si>
    <t>Забезпечення підготовки спортсменів вищих категорій школами вищої спортивної майстерності</t>
  </si>
  <si>
    <t>Підтримка і розвиток спортивної інфраструктури</t>
  </si>
  <si>
    <t>Утримання комунальних спортивних споруд</t>
  </si>
  <si>
    <t>Інші заходи з розвитку фізичної культури та спорту</t>
  </si>
  <si>
    <t>Підтримка спорту вищих досягнень та організацій, які здійснюють фізкультурно-спортивну діяльність в регіоні</t>
  </si>
  <si>
    <t>Забезпечення діяльності централізованої бухгалтерії</t>
  </si>
  <si>
    <t>7300</t>
  </si>
  <si>
    <t>8000</t>
  </si>
  <si>
    <t>Забезпечення збору та вивезення сміття і відходів, надійної та безперебійної експлуатації каналізаційних систем</t>
  </si>
  <si>
    <t>Інші заходи у сфері електротранспорту</t>
  </si>
  <si>
    <t>7400</t>
  </si>
  <si>
    <t>Внески до статутного капіталу суб’єктів господарювання</t>
  </si>
  <si>
    <t>3160</t>
  </si>
  <si>
    <t>1160</t>
  </si>
  <si>
    <t>Заходи з енергозбереження</t>
  </si>
  <si>
    <t>Інші заходи, пов'язані з економічною діяльністю</t>
  </si>
  <si>
    <t>7600</t>
  </si>
  <si>
    <t>1150</t>
  </si>
  <si>
    <t>2030</t>
  </si>
  <si>
    <t>2080</t>
  </si>
  <si>
    <t>2110</t>
  </si>
  <si>
    <t>2111</t>
  </si>
  <si>
    <t>2150</t>
  </si>
  <si>
    <t>2152</t>
  </si>
  <si>
    <t>3120</t>
  </si>
  <si>
    <t>3121</t>
  </si>
  <si>
    <t>3170</t>
  </si>
  <si>
    <t>3171</t>
  </si>
  <si>
    <t>3191</t>
  </si>
  <si>
    <t>3192</t>
  </si>
  <si>
    <t>3210</t>
  </si>
  <si>
    <t>3241</t>
  </si>
  <si>
    <t>3242</t>
  </si>
  <si>
    <t>4030</t>
  </si>
  <si>
    <t>4080</t>
  </si>
  <si>
    <t>4081</t>
  </si>
  <si>
    <t>4082</t>
  </si>
  <si>
    <t>6011</t>
  </si>
  <si>
    <t>6014</t>
  </si>
  <si>
    <t>0160</t>
  </si>
  <si>
    <t xml:space="preserve">Забезпечення діяльності інших закладів у сфері освіти </t>
  </si>
  <si>
    <t>Інші програми та заходи у сфері освіти</t>
  </si>
  <si>
    <t>Лікарсько-акушерська допомога вагітним, породіллям та новонародженим</t>
  </si>
  <si>
    <t>Первинна медична допомога населенню, що надається центрами первинної медичної (медико-санітарної) допомоги</t>
  </si>
  <si>
    <t>Інші  програми, заклади та заходи у сфері охорони здоров’я</t>
  </si>
  <si>
    <t>Інші програми та заходи у сфері охорони здоров’я</t>
  </si>
  <si>
    <t>Забезпечення діяльності бібліотек</t>
  </si>
  <si>
    <t>Інші заклади та заходи в галузі культури і мистецтва</t>
  </si>
  <si>
    <t xml:space="preserve">Забезпечення діяльності інших закладів в галузі культури і мистецтва </t>
  </si>
  <si>
    <t>Інші заходи в галузі культури і мистецтва</t>
  </si>
  <si>
    <t>Утримання та ефективна експлуатація об’єктів житлово-комунального господарства</t>
  </si>
  <si>
    <t>Експлуатація та технічне обслуговування житлового фонду</t>
  </si>
  <si>
    <t>Забезпечення функціонування підприємств, установ та організацій, що виробляють, виконують та/або надають житлово-комунальні послуги</t>
  </si>
  <si>
    <t>Організація благоустрою населених пунктів</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</si>
  <si>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</si>
  <si>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Інша діяльність у сфері житлово-комунального господарства</t>
  </si>
  <si>
    <t xml:space="preserve">Реалізація державних та місцевих житлових програм </t>
  </si>
  <si>
    <t>Транспорт та транспортна інфраструктура, дорожнє господарство</t>
  </si>
  <si>
    <t>Утримання та розвиток автомобільних доріг та дорожньої інфраструктури</t>
  </si>
  <si>
    <t>Утримання та розвиток автомобільних доріг та дорожньої інфраструктури за рахунок коштів місцевого бюджету</t>
  </si>
  <si>
    <t>7426</t>
  </si>
  <si>
    <t>Забезпечення надання послуг з перевезення пасажирів електротранспортом</t>
  </si>
  <si>
    <t>Інші послуги та заходи, пов'язані з економічною діяльністю</t>
  </si>
  <si>
    <t>7640</t>
  </si>
  <si>
    <t>7670</t>
  </si>
  <si>
    <t>Інша економічна діяльність</t>
  </si>
  <si>
    <t>7690</t>
  </si>
  <si>
    <t>7693</t>
  </si>
  <si>
    <t>8100</t>
  </si>
  <si>
    <t>Захист населення і територій від надзвичайних ситуацій техногенного та природного характеру</t>
  </si>
  <si>
    <t>8110</t>
  </si>
  <si>
    <t>Заходи із запобігання та ліквідації надзвичайних ситуацій та наслідків стихійного лиха</t>
  </si>
  <si>
    <t>8822</t>
  </si>
  <si>
    <t>8820</t>
  </si>
  <si>
    <t>Пільгові довгострокові кредити молодим сім’ям та одиноким молодим громадянам на будівництво/придбання житла  та їх повернення</t>
  </si>
  <si>
    <t>8200</t>
  </si>
  <si>
    <t>8220</t>
  </si>
  <si>
    <t>Інша діяльність</t>
  </si>
  <si>
    <t>Громадський порядок та безпека</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</si>
  <si>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</si>
  <si>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</si>
  <si>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віку,особам з інвалідістю, дітям з інвалідністю в установах соціального обслуговування</t>
  </si>
  <si>
    <t>Надання реабілітаційних послуг особам з інвалідістю та дітям з інвалідністю</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</si>
  <si>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</si>
  <si>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Забезпечення реалізації окремих програм для осіб з інвалідністю</t>
  </si>
  <si>
    <t>Заходи та роботи з мобілізаційної підготовки місцевого значення</t>
  </si>
  <si>
    <t>Інші заклади та заходи</t>
  </si>
  <si>
    <t xml:space="preserve"> Інші заходи у сфері соціального захисту і соціального забезпечення</t>
  </si>
  <si>
    <t>Інші програми, заклади та заходи у сфері освіти</t>
  </si>
  <si>
    <t>7680</t>
  </si>
  <si>
    <t>Забезпечення діяльності палаців і будинків культури, клубів, центрів дозвілля та інших  клубних закладів</t>
  </si>
  <si>
    <t>Інші субвенції з місцевого бюджету</t>
  </si>
  <si>
    <t>Членські внески до асоціацій органів місцевого самоврядування</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</si>
  <si>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</si>
  <si>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9770</t>
  </si>
  <si>
    <t xml:space="preserve">Амбулаторно-поліклінічна допомога населенню, крім  первинної медичної допомоги </t>
  </si>
  <si>
    <t>Первинна медична допомога населенню</t>
  </si>
  <si>
    <t>Інша діяльність щодо забезпечення житлом громадян</t>
  </si>
  <si>
    <t>0180</t>
  </si>
  <si>
    <t>Інша діяльність у сфері державного управління</t>
  </si>
  <si>
    <t>Надання інших пільг окремим категоріям громадян відповідно до законодавства</t>
  </si>
  <si>
    <t>Забезпечення діяльності інклюзивно-ресурсних центрів</t>
  </si>
  <si>
    <t>Повернення пільгових довгострокових кредитів, наданих молодим сім'ям та одиноким молодим громадянам на будівництво/придбання житла</t>
  </si>
  <si>
    <t>Надання дошкільної  освіти</t>
  </si>
  <si>
    <t>Надання спеціальної освіти мистецькими школами</t>
  </si>
  <si>
    <t>Підготовка кадрів закладами професійної (професійно-технічної) освіти та іншими закладами освіти</t>
  </si>
  <si>
    <t>Організація та проведення громадських робіт</t>
  </si>
  <si>
    <t>1080</t>
  </si>
  <si>
    <t>Надання загальної середньої освіти  за рахунок коштів місцевого бюджету</t>
  </si>
  <si>
    <t>1022</t>
  </si>
  <si>
    <t>Надання загальної середньої освіти  за рахунок освітньої субвенції</t>
  </si>
  <si>
    <t>1031</t>
  </si>
  <si>
    <t>1032</t>
  </si>
  <si>
    <t>1070</t>
  </si>
  <si>
    <t xml:space="preserve"> Надання позашкільної освіти закладами позашкільної освіти, заходи із позашкільної роботи з дітьми</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</si>
  <si>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</si>
  <si>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</si>
  <si>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</si>
  <si>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1101</t>
  </si>
  <si>
    <t>1140</t>
  </si>
  <si>
    <t>1141</t>
  </si>
  <si>
    <t>1142</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</si>
  <si>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</si>
  <si>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</si>
  <si>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</si>
  <si>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</si>
  <si>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Забезпечення діяльності центрів професійного розвитку педагогічних працівників</t>
  </si>
  <si>
    <t>Підготовка кадрів закладами професійної (професійно-технічної) освіти та іншими закладами освіти  за рахунок освітньої субвенції</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</si>
  <si>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</si>
  <si>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</si>
  <si>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</si>
  <si>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</si>
  <si>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</si>
  <si>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</si>
  <si>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 xml:space="preserve">Податок на прибуток підприємств </t>
  </si>
  <si>
    <t>Рентна плата та плата за використання інших природних ресурсів </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</si>
  <si>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</si>
  <si>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</si>
  <si>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</si>
  <si>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</si>
  <si>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</si>
  <si>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</si>
  <si>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</si>
  <si>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</si>
  <si>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Акцизний податок з реалізації суб’єктами господарювання роздрібної торгівлі підакцизних товарів</t>
  </si>
  <si>
    <t xml:space="preserve">Місцеві податки та збори, що сплачуються (перераховуються) згідно з Податковим кодексом України </t>
  </si>
  <si>
    <t>Податок на майно</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</si>
  <si>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</si>
  <si>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</si>
  <si>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Орендна плата з юридичних осіб  </t>
  </si>
  <si>
    <t>Земельний податок з фізичних осіб  </t>
  </si>
  <si>
    <t>Орендна плата з фізичних осіб  </t>
  </si>
  <si>
    <t>Транспортний податок з фізичних осіб</t>
  </si>
  <si>
    <t>Транспортний податок з юридичних осіб</t>
  </si>
  <si>
    <t>Туристичний збір</t>
  </si>
  <si>
    <t>Туристичний збір, сплачений юридичними особами</t>
  </si>
  <si>
    <t>Туристичний збір, сплачений фізичними особами</t>
  </si>
  <si>
    <t xml:space="preserve">Єдиний податок </t>
  </si>
  <si>
    <t>Єдиний податок з юридичних осіб</t>
  </si>
  <si>
    <t>Єдиний податок з фізичних осіб</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</si>
  <si>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</si>
  <si>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Екологічний податок</t>
  </si>
  <si>
    <t>Неподаткові надходження</t>
  </si>
  <si>
    <t>Доходи від власності та підприємницької діяльності</t>
  </si>
  <si>
    <t>Інші надходження</t>
  </si>
  <si>
    <t>Адміністративні штрафи та інші санкції</t>
  </si>
  <si>
    <t xml:space="preserve">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</si>
  <si>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</si>
  <si>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</si>
  <si>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Адміністративний збір за державну реєстрацію речових прав на нерухоме майно та їх обтяжень</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</si>
  <si>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</si>
  <si>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</si>
  <si>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</si>
  <si>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</si>
  <si>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</si>
  <si>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 
</t>
  </si>
  <si>
    <t>Відсотки за користування  довгостроковим кредитом, що надається з місцевих бюджетів молодим сім'ям та одиноким молодим громадянам на будівництво (реконструкцію) та придбання житла</t>
  </si>
  <si>
    <t>Власні надходження бюджетних установ</t>
  </si>
  <si>
    <t>РАЗОМ ДОХОДІВ</t>
  </si>
  <si>
    <t xml:space="preserve">Офіційні трансферти </t>
  </si>
  <si>
    <t>Субвенції з державного бюджету місцевим бюджетам</t>
  </si>
  <si>
    <t>Освітня субвенція з державного бюджету місцевим бюджетам </t>
  </si>
  <si>
    <t>Субвенції з місцевих бюджетів іншим місцевим бюджетам</t>
  </si>
  <si>
    <t>41053900</t>
  </si>
  <si>
    <t>ВСЬОГО ДОХОДІВ</t>
  </si>
  <si>
    <t>1021</t>
  </si>
  <si>
    <t>Усього</t>
  </si>
  <si>
    <t>Зовнішній борг</t>
  </si>
  <si>
    <t>Заборгованість за довгостроковими  зобов"язаннями (позики банків та фінансових установ)</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</si>
  <si>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</si>
  <si>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3124</t>
  </si>
  <si>
    <t>Кошти, отримані від надання учасниками процедури закупівлі / спрощеної закупівлі як забезпечення їх тендерної пропозиції / пропозиції учасника спрощеної закупівлі, які не підлягають поверненню цим учасникам</t>
  </si>
  <si>
    <t>7000</t>
  </si>
  <si>
    <t xml:space="preserve"> Економічна діяльність</t>
  </si>
  <si>
    <t>Темп зростання/ уповільнення, %</t>
  </si>
  <si>
    <t>Відхилення, тис. грн</t>
  </si>
  <si>
    <t>ВИДАТКОВА ЧАСТИНА ТА КРЕДИТУВАННЯ  БЮДЖЕТУ МИКОЛАЇВСЬКОЇ МІСЬКОЇ ТЕРИТОРІАЛЬНОЇ ГРОМАДИ</t>
  </si>
  <si>
    <t>ДОХІДНА ЧАСТИНА БЮДЖЕТУ МИКОЛАЇВСЬКОЇ МІСЬКОЇ ТЕРИТОРІАЛЬНОЇ ГРОМАДИ</t>
  </si>
  <si>
    <t>ІНФОРМАЦІЯ ПРО СТАН МІСЦЕВОГО БОРГУ БЮДЖЕТУ МИКОЛАЇВСЬКОЇ МІСЬКОЇ ТЕРИТОРІАЛЬНОЇ ГРОМАДИ</t>
  </si>
  <si>
    <t>Підготовка кадрів закладами фахової передвищої освіти за рахунок коштів місцевого бюджету</t>
  </si>
  <si>
    <t>Адміністративні штрафи за адміністративні правопорушення у сфері забезпечення безпеки дорожнього руху, зафіксовані в автоматичному режимі</t>
  </si>
  <si>
    <t>Попередження аварій та запобігання техногенним катастрофам у житлово-комунальному господарстві та на інших аварійних об'єктах комунальної власності</t>
  </si>
  <si>
    <t>Податок на доходи фізичних осіб із доходів спеціалістів резидента Дія Сіті</t>
  </si>
  <si>
    <t>Інші дотації з місцевого бюджету</t>
  </si>
  <si>
    <t>Дотації з місцевих бюджетів іншим місцевим бюджетам</t>
  </si>
  <si>
    <t>41057700</t>
  </si>
  <si>
    <t>Надходження коштів пайової участі у розвитку інфраструктури населеного пункту</t>
  </si>
  <si>
    <t>Надання фінансової підтримки громадським об'єднанням ветеранів і осіб з інвалідністю, діяльність яких має соціальну спрямованість</t>
  </si>
  <si>
    <t>Інші видатки на соціальний захист ветеранів війни та праці</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</si>
  <si>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</si>
  <si>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</si>
  <si>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Заходи, пов'язані з поліпшенням питної води</t>
  </si>
  <si>
    <t>Податок на доходи фізичних осіб у вигляді мінімального податкового зобов’язання, що підлягає сплаті фізичними особами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</si>
  <si>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</si>
  <si>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</si>
  <si>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Надходження від орендної плати за користування  майновим комплексом та іншим майном, що перебуває в комунальній власності</t>
  </si>
  <si>
    <t>7330</t>
  </si>
  <si>
    <t>Будівництво  інших об'єктів комунальної власності</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</si>
  <si>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</si>
  <si>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</si>
  <si>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8600</t>
  </si>
  <si>
    <t>Обслуговування місцевого боргу</t>
  </si>
  <si>
    <t>Зовнішнє фінансування</t>
  </si>
  <si>
    <t>Податки та збори, не віднесені до інших категорій</t>
  </si>
  <si>
    <t>Плата за ліцензії на провадження діяльності з організації та проведення азартних ігор у залах гральних автоматів</t>
  </si>
  <si>
    <t>Державне мито, не віднесене до інших категорій</t>
  </si>
  <si>
    <t>Доходи від операцій з капіталом</t>
  </si>
  <si>
    <t>Надходження коштів від Державного фонду дорогоцінних металів і дорогоцінного каміння</t>
  </si>
  <si>
    <t>50000000</t>
  </si>
  <si>
    <t>Цільові фонди</t>
  </si>
  <si>
    <t>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</si>
  <si>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</si>
  <si>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</si>
  <si>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</si>
  <si>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Цільові фонди, утворені Верховною Радою Автономної Республіки Крим, органами місцевого самоврядування та місцевими органами виконавчої влади</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</si>
  <si>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</si>
  <si>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</si>
  <si>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8300</t>
  </si>
  <si>
    <t>Охорона навколишнього природного середовища</t>
  </si>
  <si>
    <t>8310</t>
  </si>
  <si>
    <t>8312</t>
  </si>
  <si>
    <t>Запобігання та ліквідація забруднення навколишнього природного середовища</t>
  </si>
  <si>
    <t>Утилізація відходів</t>
  </si>
  <si>
    <t>Плата за гарантії, надані Верховною Радою Автономної Республіки Крим, міськими та обласними радами</t>
  </si>
  <si>
    <t>Субвенція з місцевого бюджету за рахунок залишку коштів освітньої субвенції, що утворився на початок бюджетного періоду</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</si>
  <si>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</si>
  <si>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</si>
  <si>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r>
      <t>Субвенція з місцевого бюджету на виплату грошової компенсації за належні для отримання жилі приміщення для сімей осіб, визначених </t>
    </r>
    <r>
      <rPr>
        <u/>
        <sz val="14"/>
        <rFont val="Times New Roman"/>
        <family val="1"/>
        <charset val="204"/>
      </rPr>
      <t>пунктами 2 - 5</t>
    </r>
    <r>
      <rPr>
        <sz val="14"/>
        <rFont val="Times New Roman"/>
        <family val="1"/>
        <charset val="204"/>
      </rPr>
      <t>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t>
    </r>
    <r>
      <rPr>
        <u/>
        <sz val="14"/>
        <rFont val="Times New Roman"/>
        <family val="1"/>
        <charset val="204"/>
      </rPr>
      <t>пунктами 11 - 14</t>
    </r>
    <r>
      <rPr>
        <sz val="14"/>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r>
  </si>
  <si>
    <r>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t>
    </r>
    <r>
      <rPr>
        <u/>
        <sz val="14"/>
        <rFont val="Times New Roman"/>
        <family val="1"/>
        <charset val="204"/>
      </rPr>
      <t>абзаці першому</t>
    </r>
    <r>
      <rPr>
        <sz val="14"/>
        <rFont val="Times New Roman"/>
        <family val="1"/>
        <charset val="204"/>
      </rPr>
      <t>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t>
    </r>
    <r>
      <rPr>
        <u/>
        <sz val="14"/>
        <rFont val="Times New Roman"/>
        <family val="1"/>
        <charset val="204"/>
      </rPr>
      <t>пунктом 7</t>
    </r>
    <r>
      <rPr>
        <sz val="14"/>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r>
  </si>
  <si>
    <r>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t>
    </r>
    <r>
      <rPr>
        <u/>
        <sz val="14"/>
        <rFont val="Times New Roman"/>
        <family val="1"/>
        <charset val="204"/>
      </rPr>
      <t>пунктів 11 - 14</t>
    </r>
    <r>
      <rPr>
        <sz val="14"/>
        <rFont val="Times New Roman"/>
        <family val="1"/>
        <charset val="204"/>
      </rPr>
      <t> частини другої статті 7 або учасниками бойових дій відповідно до </t>
    </r>
    <r>
      <rPr>
        <u/>
        <sz val="14"/>
        <rFont val="Times New Roman"/>
        <family val="1"/>
        <charset val="204"/>
      </rPr>
      <t>пунктів 19 - 21</t>
    </r>
    <r>
      <rPr>
        <sz val="14"/>
        <rFont val="Times New Roman"/>
        <family val="1"/>
        <charset val="204"/>
      </rPr>
      <t>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r>
  </si>
  <si>
    <t>410000</t>
  </si>
  <si>
    <t>Заборгованість за довгостроковими зобов'язаннями</t>
  </si>
  <si>
    <t>Внутрішній борг місцевих бюджетів за окремими кодами валют</t>
  </si>
  <si>
    <t>Внутрішній борг в національній валюті</t>
  </si>
  <si>
    <t>в 2,0 р.б.</t>
  </si>
  <si>
    <t>6086</t>
  </si>
  <si>
    <t>1300</t>
  </si>
  <si>
    <t>Будівництво  освітніх установ та закладів</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</si>
  <si>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</si>
  <si>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</si>
  <si>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</si>
  <si>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</si>
  <si>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</si>
  <si>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</si>
  <si>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в 2,8 р.б.</t>
  </si>
  <si>
    <t>Податок на прибуток підприємств та фінансових установ комунальної власності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</si>
  <si>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</si>
  <si>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</si>
  <si>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Земельний податок з юридичних осіб  </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</si>
  <si>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</si>
  <si>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</si>
  <si>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«Про державну реєстрацію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</si>
  <si>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суб'єктам космічної діяльності та літакобудування</t>
  </si>
  <si>
    <t>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</si>
  <si>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Субвенція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</si>
  <si>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</si>
  <si>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Субвенція з місцевого бюджету на здійснення переданих видатків у сфері освіти за рахунок коштів освітньої субвенції</t>
  </si>
  <si>
    <t>6015</t>
  </si>
  <si>
    <t>Забезпечення надійної та безперебійної експлуатації ліфтів</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</si>
  <si>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</si>
  <si>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</si>
  <si>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</si>
  <si>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в 1,9 р.б.</t>
  </si>
  <si>
    <t>8240</t>
  </si>
  <si>
    <t>Заходи та роботи з територіальної оборони</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</si>
  <si>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</si>
  <si>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</si>
  <si>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2170</t>
  </si>
  <si>
    <t>5070</t>
  </si>
  <si>
    <t>Будівництво  закладів охорони здоров'я</t>
  </si>
  <si>
    <t>Будівництво  споруд, установ та закладів фізичної культури і спорту</t>
  </si>
  <si>
    <t>Будівництво об'єктів житлово-комунального господарства</t>
  </si>
  <si>
    <t>1210</t>
  </si>
  <si>
    <t>Проведення (надання) додаткових психолого-педагогічних і корекційно-розвиткових занять (послуг)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</si>
  <si>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3110</t>
  </si>
  <si>
    <t>3114</t>
  </si>
  <si>
    <t>Заклади і заходи з питань дітей та їх соціального захисту</t>
  </si>
  <si>
    <t>Забезпечення умов для догляду та виховання дітей і молоді в дитячих будинках сімейного типу, прийомних сім’ях та сім’ях патронатних вихователів</t>
  </si>
  <si>
    <t>3130</t>
  </si>
  <si>
    <t>3133</t>
  </si>
  <si>
    <t>3140</t>
  </si>
  <si>
    <t>Реалізація державної політики у молодіжній сфері та сфері з утвердження української національної та громадянської ідентичності</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</si>
  <si>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</si>
  <si>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Забезпечення молодіжними центрами соціального становлення та розвитку молоді та інші заходи у сфері молодіжної політики</t>
  </si>
  <si>
    <t>3123</t>
  </si>
  <si>
    <t>Заходи державної політики з питань сім'ї</t>
  </si>
  <si>
    <t>4083</t>
  </si>
  <si>
    <t>Будівництво закладів культури і мистецтва</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</si>
  <si>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</si>
  <si>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</si>
  <si>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1261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</si>
  <si>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</si>
  <si>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1262</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</si>
  <si>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</si>
  <si>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</si>
  <si>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</si>
  <si>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3245</t>
  </si>
  <si>
    <t>0170</t>
  </si>
  <si>
    <t>Підвищення кваліфікації депутатів місцевих рад та посадових осіб місцевого самоврядування</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</si>
  <si>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</si>
  <si>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</si>
  <si>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</si>
  <si>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в 1,6 р.б.</t>
  </si>
  <si>
    <t>в 3,3 р.б.</t>
  </si>
  <si>
    <t>8821</t>
  </si>
  <si>
    <t>9800</t>
  </si>
  <si>
    <t>5049</t>
  </si>
  <si>
    <t>7370</t>
  </si>
  <si>
    <t>7622</t>
  </si>
  <si>
    <t>Реалізація програм і заходів в галузі туризму та курортів</t>
  </si>
  <si>
    <t>Виконання окремих заходів з реалізації соціального проекту "Активні парки - локації здорової України"</t>
  </si>
  <si>
    <t>Реалізація інших заходів щодо соціально-економічного розвитку територій</t>
  </si>
  <si>
    <t>Субвенція з місцевого бюджету державному бюджету на виконання програм соціально-економічного розвитку регіонів</t>
  </si>
  <si>
    <t>Надання пільгових довгострокових кредитів молодим сім'ям та одиноким молодим громадянам на будівництво/реконструкцію/придбання житла</t>
  </si>
  <si>
    <t>7382</t>
  </si>
  <si>
    <t>Реалізація заходів з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</si>
  <si>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8340</t>
  </si>
  <si>
    <t>7410</t>
  </si>
  <si>
    <t>7413</t>
  </si>
  <si>
    <t>Природоохоронні заходи за рахунок цільових фондів</t>
  </si>
  <si>
    <t>Забезпечення надання послуг з перевезення пасажирів автомобільним транспортом</t>
  </si>
  <si>
    <t>Інші заходи у сфері автотранспорту</t>
  </si>
  <si>
    <t>Інформація про виконання бюджету  Миколаївської міської територіальної громади  за  9 місяців 2025 року (з динамікою змін порівняно за 9 місяців 2024  року)</t>
  </si>
  <si>
    <t>Виконано за 9 місяців 2024  року, тис. грн</t>
  </si>
  <si>
    <t>Виконано за  9 місяців 2025 року, тис. грн</t>
  </si>
  <si>
    <t>3111</t>
  </si>
  <si>
    <t>3112</t>
  </si>
  <si>
    <t>Надання комплексу послуг дітям-сиротам, дітям, позбавленим батьківського піклування, особам з їх числа та дітям віком від 3 до 18 років, які опинились у складних життєвих обставинах, закладами, які надають соціальні послуги дітям</t>
  </si>
  <si>
    <t>Заходи державної політики з питань дітей та їх соціального захисту</t>
  </si>
  <si>
    <t>3220</t>
  </si>
  <si>
    <t>3221</t>
  </si>
  <si>
    <t>3222</t>
  </si>
  <si>
    <t>3223</t>
  </si>
  <si>
    <t>Грошова компенсація за належні для отримання жилі приміщення для окремих категорій населення відповідно до законодавства</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</si>
  <si>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</si>
  <si>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</si>
  <si>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</si>
  <si>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</si>
  <si>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</si>
  <si>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</si>
  <si>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</si>
  <si>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Надання комплексу послуг особам/сім’ям у сфері соціального захисту та соціального забезпечення іншими надавачами соціальних послуг</t>
  </si>
  <si>
    <t>1061</t>
  </si>
  <si>
    <t>1279</t>
  </si>
  <si>
    <t xml:space="preserve"> 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</si>
  <si>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</si>
  <si>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</si>
  <si>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 xml:space="preserve"> 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</si>
  <si>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4084</t>
  </si>
  <si>
    <t>Проектування, реставрація та охорона пам'яток культурної спадщини</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</si>
  <si>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</si>
  <si>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</si>
  <si>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</si>
  <si>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</si>
  <si>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</si>
  <si>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</si>
  <si>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</si>
  <si>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</si>
  <si>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</si>
  <si>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1260</t>
  </si>
  <si>
    <t>1270</t>
  </si>
  <si>
    <t>Виконання заходів за рахунок коштів освітньої субвенції з державного бюджету місцевим бюджетам (за спеціальним фондом державного бюджету)</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</si>
  <si>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</si>
  <si>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1290</t>
  </si>
  <si>
    <t>8230</t>
  </si>
  <si>
    <t>Інші заходи громадського порядку та безпеки</t>
  </si>
  <si>
    <t>1100</t>
  </si>
  <si>
    <t>Підготовка кадрів закладами фахової передвищої освіти</t>
  </si>
  <si>
    <t>7350</t>
  </si>
  <si>
    <t>Інвестиційні проєкти та регіональний розвиток</t>
  </si>
  <si>
    <t>Розроблення схем планування та забудови територій (містобудівної документації)</t>
  </si>
  <si>
    <t>в 52,6 р.б.</t>
  </si>
  <si>
    <t>в 4,2 р.б.</t>
  </si>
  <si>
    <t>в 3,3 рб.</t>
  </si>
  <si>
    <t>в 2,3 р.б.</t>
  </si>
  <si>
    <t>в 4,1 р.б.</t>
  </si>
  <si>
    <t>в 63,2 р.б.</t>
  </si>
  <si>
    <t>в 12,5  р.б.</t>
  </si>
  <si>
    <t>в 12,1 р.б.</t>
  </si>
  <si>
    <t>в 3,1 р.б.</t>
  </si>
  <si>
    <t>в 4,6 р.б.</t>
  </si>
  <si>
    <t>в 3,6 р.б.</t>
  </si>
  <si>
    <t>в 7,4 р.б.</t>
  </si>
  <si>
    <t>в 5,1 р.б.</t>
  </si>
  <si>
    <t>в 11,1 р.б.</t>
  </si>
  <si>
    <t>в 5,3 р.б.</t>
  </si>
  <si>
    <t>в 1,8 р.б.</t>
  </si>
  <si>
    <t>в 3,0 р.б.</t>
  </si>
  <si>
    <t>в 17,8 р.б.</t>
  </si>
  <si>
    <t>в 2,2 р.б.</t>
  </si>
  <si>
    <t>в 4,4 р.б.</t>
  </si>
  <si>
    <t>в 2,7 р.б.</t>
  </si>
  <si>
    <t>в 73,8 р.б.</t>
  </si>
  <si>
    <t>в 269,6 р.б.</t>
  </si>
  <si>
    <t>Кошти від відчуження майна, що належить Автономній Республіці Крим та майна, що перебуває в комунальній власності</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</si>
  <si>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</si>
  <si>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</si>
  <si>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в 3,8 р.б.</t>
  </si>
  <si>
    <t>в 1,5 р.б.</t>
  </si>
  <si>
    <t>в 2,4 р.б.</t>
  </si>
  <si>
    <t>в 2,5 р.б.</t>
  </si>
  <si>
    <t>в 77,5 р.б.</t>
  </si>
  <si>
    <t>в 2,6 р.б.</t>
  </si>
  <si>
    <t>в 1,8 р. б.</t>
  </si>
  <si>
    <t>в 85,6 р.б.</t>
  </si>
  <si>
    <t>в 1,5 р. б.</t>
  </si>
  <si>
    <t>в 1,7 р.б.</t>
  </si>
  <si>
    <t>в 6,2 р.б.</t>
  </si>
  <si>
    <t>в 6,3 р.б.</t>
  </si>
  <si>
    <t>в 5,0 р.б.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</si>
</sst>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_)"/>
    <numFmt numFmtId="167" formatCode="#,##0.000"/>
    <numFmt numFmtId="168" formatCode="#,##0.0"/>
    <numFmt numFmtId="169" formatCode="#,##0.000;\-#,##0.000"/>
    <numFmt numFmtId="170" formatCode="#,##0.000_ ;\-#,##0.000\ "/>
  </numFmts>
  <fonts count="31" x14ac:knownFonts="1">
    <font>
      <sz val="10"/>
      <name val="Arial Cyr"/>
      <charset val="204"/>
    </font>
    <font>
      <sz val="8"/>
      <name val="Arial Cyr"/>
      <charset val="204"/>
    </font>
    <font>
      <sz val="11"/>
      <name val="Arial Cyr"/>
      <charset val="204"/>
    </font>
    <font>
      <sz val="11"/>
      <name val="Times New Roman"/>
      <family val="1"/>
      <charset val="204"/>
    </font>
    <font>
      <b/>
      <sz val="18"/>
      <name val="Times New Roman"/>
      <family val="1"/>
      <charset val="204"/>
    </font>
    <font>
      <b/>
      <sz val="16"/>
      <name val="Times New Roman"/>
      <family val="1"/>
      <charset val="204"/>
    </font>
    <font>
      <sz val="14"/>
      <name val="Times New Roman"/>
      <family val="1"/>
      <charset val="204"/>
    </font>
    <font>
      <b/>
      <sz val="14"/>
      <name val="Times New Roman"/>
      <family val="1"/>
      <charset val="204"/>
    </font>
    <font>
      <b/>
      <sz val="11"/>
      <name val="Arial Cyr"/>
      <charset val="204"/>
    </font>
    <font>
      <b/>
      <sz val="20"/>
      <name val="Times New Roman"/>
      <family val="1"/>
      <charset val="204"/>
    </font>
    <font>
      <sz val="14"/>
      <name val="Arial Cyr"/>
      <charset val="204"/>
    </font>
    <font>
      <i/>
      <sz val="14"/>
      <name val="Times New Roman"/>
      <family val="1"/>
      <charset val="204"/>
    </font>
    <font>
      <b/>
      <sz val="22"/>
      <name val="Times New Roman"/>
      <family val="1"/>
      <charset val="204"/>
    </font>
    <font>
      <sz val="20"/>
      <name val="Times New Roman"/>
      <family val="1"/>
      <charset val="204"/>
    </font>
    <font>
      <i/>
      <sz val="11"/>
      <name val="Arial Cyr"/>
      <charset val="204"/>
    </font>
    <font>
      <b/>
      <sz val="14"/>
      <name val="Arial Cyr"/>
      <charset val="204"/>
    </font>
    <font>
      <b/>
      <sz val="10"/>
      <name val="Times New Roman"/>
      <family val="1"/>
      <charset val="204"/>
    </font>
    <font>
      <sz val="10"/>
      <name val="Times New Roman"/>
      <family val="1"/>
      <charset val="204"/>
    </font>
    <font>
      <sz val="14"/>
      <color rgb="FF333333"/>
      <name val="Times New Roman"/>
      <family val="1"/>
      <charset val="204"/>
    </font>
    <font>
      <sz val="14"/>
      <color theme="1"/>
      <name val="Arial Cyr"/>
      <charset val="204"/>
    </font>
    <font>
      <sz val="14"/>
      <color rgb="FF000000"/>
      <name val="Times New Roman"/>
      <family val="1"/>
      <charset val="204"/>
    </font>
    <font>
      <sz val="14"/>
      <color theme="1"/>
      <name val="Times New Roman"/>
      <family val="1"/>
      <charset val="204"/>
    </font>
    <font>
      <sz val="14"/>
      <color rgb="FF000000"/>
      <name val="Times New Roman"/>
      <family val="1"/>
      <charset val="204"/>
    </font>
    <font>
      <b/>
      <sz val="14"/>
      <color rgb="FF000000"/>
      <name val="Times New Roman"/>
      <family val="1"/>
      <charset val="204"/>
    </font>
    <font>
      <b/>
      <i/>
      <sz val="5"/>
      <color rgb="FF000000"/>
      <name val="Times New Roman"/>
      <family val="1"/>
      <charset val="204"/>
    </font>
    <font>
      <u/>
      <sz val="14"/>
      <name val="Times New Roman"/>
      <family val="1"/>
      <charset val="204"/>
    </font>
    <font>
      <b/>
      <sz val="7"/>
      <color rgb="FF000000"/>
      <name val="Times New Roman"/>
      <family val="1"/>
      <charset val="204"/>
    </font>
    <font>
      <b/>
      <sz val="16"/>
      <color rgb="FF000000"/>
      <name val="Times New Roman"/>
      <family val="1"/>
      <charset val="204"/>
    </font>
    <font>
      <b/>
      <sz val="14"/>
      <name val="Times New Roman"/>
    </font>
    <font>
      <sz val="14"/>
      <color rgb="FF000000"/>
      <name val="Times New Roman"/>
    </font>
    <font>
      <sz val="14"/>
      <name val="Times New Roman"/>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s>
  <cellStyleXfs count="1">
    <xf numFmtId="0" fontId="0" fillId="0" borderId="0"/>
  </cellStyleXfs>
  <cellXfs count="205">
    <xf numFmtId="0" fontId="0" fillId="0" borderId="0" xfId="0"/>
    <xf numFmtId="0" fontId="2" fillId="0" borderId="0" xfId="0" applyFont="1"/>
    <xf numFmtId="0" fontId="10" fillId="0" borderId="0" xfId="0" applyFont="1"/>
    <xf numFmtId="0" fontId="6" fillId="0" borderId="0" xfId="0" applyFont="1"/>
    <xf numFmtId="0" fontId="3" fillId="0" borderId="0" xfId="0" applyFont="1" applyAlignment="1">
      <alignment horizontal="right"/>
    </xf>
    <xf numFmtId="0" fontId="3" fillId="0" borderId="0" xfId="0" applyFont="1" applyAlignment="1">
      <alignment wrapText="1"/>
    </xf>
    <xf numFmtId="167" fontId="3" fillId="0" borderId="0" xfId="0" applyNumberFormat="1" applyFont="1"/>
    <xf numFmtId="167" fontId="6" fillId="0" borderId="0" xfId="0" applyNumberFormat="1" applyFont="1"/>
    <xf numFmtId="165" fontId="6" fillId="0" borderId="0" xfId="0" applyNumberFormat="1" applyFont="1" applyAlignment="1">
      <alignment horizontal="right"/>
    </xf>
    <xf numFmtId="0" fontId="15" fillId="0" borderId="0" xfId="0" applyFont="1"/>
    <xf numFmtId="0" fontId="19" fillId="0" borderId="0" xfId="0" applyFont="1"/>
    <xf numFmtId="0" fontId="7" fillId="0" borderId="0" xfId="0" applyFont="1"/>
    <xf numFmtId="0" fontId="14" fillId="0" borderId="0" xfId="0" applyFont="1"/>
    <xf numFmtId="165" fontId="3" fillId="0" borderId="0" xfId="0" applyNumberFormat="1" applyFont="1" applyAlignment="1">
      <alignment horizontal="right"/>
    </xf>
    <xf numFmtId="0" fontId="2" fillId="2" borderId="0" xfId="0" applyFont="1" applyFill="1"/>
    <xf numFmtId="167" fontId="6" fillId="2" borderId="1" xfId="0" applyNumberFormat="1" applyFont="1" applyFill="1" applyBorder="1" applyAlignment="1">
      <alignment horizontal="right"/>
    </xf>
    <xf numFmtId="167" fontId="6" fillId="2" borderId="1" xfId="0" applyNumberFormat="1" applyFont="1" applyFill="1" applyBorder="1" applyAlignment="1">
      <alignment horizontal="right" vertical="center" wrapText="1"/>
    </xf>
    <xf numFmtId="167" fontId="6" fillId="2" borderId="1" xfId="0" applyNumberFormat="1" applyFont="1" applyFill="1" applyBorder="1" applyAlignment="1">
      <alignment horizontal="right" vertical="center"/>
    </xf>
    <xf numFmtId="167" fontId="6" fillId="2" borderId="1" xfId="0" applyNumberFormat="1" applyFont="1" applyFill="1" applyBorder="1" applyAlignment="1">
      <alignment horizontal="right" vertical="top"/>
    </xf>
    <xf numFmtId="49" fontId="6" fillId="2" borderId="8" xfId="0" applyNumberFormat="1" applyFont="1" applyFill="1" applyBorder="1" applyAlignment="1" applyProtection="1">
      <alignment horizontal="center" vertical="top"/>
      <protection locked="0"/>
    </xf>
    <xf numFmtId="0" fontId="6" fillId="2" borderId="1" xfId="0" applyFont="1" applyFill="1" applyBorder="1" applyAlignment="1">
      <alignment horizontal="left" vertical="center" wrapText="1"/>
    </xf>
    <xf numFmtId="167" fontId="22" fillId="2" borderId="1" xfId="0" applyNumberFormat="1" applyFont="1" applyFill="1" applyBorder="1" applyAlignment="1">
      <alignment horizontal="right" vertical="center"/>
    </xf>
    <xf numFmtId="167" fontId="6" fillId="2" borderId="5" xfId="0" applyNumberFormat="1" applyFont="1" applyFill="1" applyBorder="1" applyAlignment="1">
      <alignment horizontal="right" vertical="center"/>
    </xf>
    <xf numFmtId="168" fontId="6" fillId="2" borderId="1" xfId="0" applyNumberFormat="1" applyFont="1" applyFill="1" applyBorder="1" applyAlignment="1">
      <alignment horizontal="right" vertical="center" wrapText="1"/>
    </xf>
    <xf numFmtId="165" fontId="6" fillId="2" borderId="1" xfId="0" applyNumberFormat="1" applyFont="1" applyFill="1" applyBorder="1" applyAlignment="1">
      <alignment horizontal="right" vertical="center" wrapText="1"/>
    </xf>
    <xf numFmtId="49" fontId="6" fillId="0" borderId="1" xfId="0" applyNumberFormat="1" applyFont="1" applyBorder="1" applyAlignment="1">
      <alignment horizontal="center" vertical="top"/>
    </xf>
    <xf numFmtId="0" fontId="6" fillId="0" borderId="1" xfId="0" applyFont="1" applyBorder="1" applyAlignment="1">
      <alignment wrapText="1"/>
    </xf>
    <xf numFmtId="167" fontId="6" fillId="0" borderId="1" xfId="0" applyNumberFormat="1" applyFont="1" applyBorder="1" applyAlignment="1">
      <alignment horizontal="right" vertical="center" wrapText="1"/>
    </xf>
    <xf numFmtId="168" fontId="6" fillId="0" borderId="1" xfId="0" applyNumberFormat="1" applyFont="1" applyBorder="1" applyAlignment="1">
      <alignment horizontal="right" vertical="center" wrapText="1"/>
    </xf>
    <xf numFmtId="165" fontId="6" fillId="0" borderId="1" xfId="0" applyNumberFormat="1" applyFont="1" applyBorder="1" applyAlignment="1">
      <alignment horizontal="right" vertical="center" wrapText="1"/>
    </xf>
    <xf numFmtId="49" fontId="6" fillId="0" borderId="1" xfId="0" applyNumberFormat="1" applyFont="1" applyBorder="1" applyAlignment="1" applyProtection="1">
      <alignment horizontal="center" vertical="top"/>
      <protection locked="0"/>
    </xf>
    <xf numFmtId="167"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vertical="center" wrapText="1"/>
    </xf>
    <xf numFmtId="169" fontId="20" fillId="0" borderId="2" xfId="0" applyNumberFormat="1" applyFont="1" applyBorder="1" applyAlignment="1">
      <alignment horizontal="right" vertical="center" wrapText="1"/>
    </xf>
    <xf numFmtId="49" fontId="6" fillId="0" borderId="5" xfId="0" applyNumberFormat="1" applyFont="1" applyBorder="1" applyAlignment="1" applyProtection="1">
      <alignment horizontal="center" vertical="center"/>
      <protection locked="0"/>
    </xf>
    <xf numFmtId="0" fontId="6" fillId="0" borderId="5" xfId="0" applyFont="1" applyBorder="1" applyAlignment="1">
      <alignment vertical="center" wrapText="1"/>
    </xf>
    <xf numFmtId="167" fontId="6" fillId="0" borderId="5" xfId="0" applyNumberFormat="1" applyFont="1" applyBorder="1" applyAlignment="1">
      <alignment horizontal="right" vertical="center"/>
    </xf>
    <xf numFmtId="167" fontId="6" fillId="0" borderId="5" xfId="0" applyNumberFormat="1" applyFont="1" applyBorder="1" applyAlignment="1">
      <alignment horizontal="right" vertical="center" wrapText="1"/>
    </xf>
    <xf numFmtId="168" fontId="6" fillId="0" borderId="5" xfId="0" applyNumberFormat="1" applyFont="1" applyBorder="1" applyAlignment="1">
      <alignment horizontal="right" vertical="center" wrapText="1"/>
    </xf>
    <xf numFmtId="169" fontId="20" fillId="0" borderId="9" xfId="0" applyNumberFormat="1" applyFont="1" applyBorder="1" applyAlignment="1">
      <alignment horizontal="right" vertical="center" wrapText="1"/>
    </xf>
    <xf numFmtId="0" fontId="18" fillId="0" borderId="1" xfId="0" applyFont="1" applyBorder="1"/>
    <xf numFmtId="169" fontId="20" fillId="0" borderId="1" xfId="0" applyNumberFormat="1" applyFont="1" applyBorder="1" applyAlignment="1">
      <alignment horizontal="right" vertical="center" wrapText="1"/>
    </xf>
    <xf numFmtId="49" fontId="5" fillId="0" borderId="1" xfId="0" applyNumberFormat="1" applyFont="1" applyBorder="1" applyAlignment="1">
      <alignment horizontal="center" vertical="top"/>
    </xf>
    <xf numFmtId="166" fontId="5" fillId="0" borderId="1" xfId="0" applyNumberFormat="1" applyFont="1" applyBorder="1" applyAlignment="1" applyProtection="1">
      <alignment horizontal="left" vertical="top" wrapText="1"/>
      <protection locked="0"/>
    </xf>
    <xf numFmtId="167" fontId="7" fillId="0" borderId="1" xfId="0" applyNumberFormat="1" applyFont="1" applyBorder="1" applyAlignment="1">
      <alignment horizontal="right" vertical="center" wrapText="1"/>
    </xf>
    <xf numFmtId="168" fontId="7" fillId="0" borderId="1" xfId="0" applyNumberFormat="1" applyFont="1" applyBorder="1" applyAlignment="1">
      <alignment horizontal="right" vertical="center" wrapText="1"/>
    </xf>
    <xf numFmtId="0" fontId="24" fillId="2" borderId="1" xfId="0" applyFont="1" applyFill="1" applyBorder="1" applyAlignment="1">
      <alignment horizontal="right" vertical="center" wrapText="1"/>
    </xf>
    <xf numFmtId="167" fontId="7" fillId="2" borderId="1" xfId="0" applyNumberFormat="1" applyFont="1" applyFill="1" applyBorder="1" applyAlignment="1">
      <alignment horizontal="right" vertical="center" wrapText="1"/>
    </xf>
    <xf numFmtId="167" fontId="11" fillId="2" borderId="1" xfId="0" applyNumberFormat="1" applyFont="1" applyFill="1" applyBorder="1" applyAlignment="1">
      <alignment horizontal="right" vertical="center"/>
    </xf>
    <xf numFmtId="167" fontId="6" fillId="0" borderId="1" xfId="0" applyNumberFormat="1" applyFont="1" applyBorder="1" applyAlignment="1">
      <alignment horizontal="right"/>
    </xf>
    <xf numFmtId="167" fontId="7" fillId="0" borderId="1" xfId="0" applyNumberFormat="1" applyFont="1" applyBorder="1" applyAlignment="1">
      <alignment horizontal="right" vertical="center"/>
    </xf>
    <xf numFmtId="167" fontId="7" fillId="0" borderId="1" xfId="0" applyNumberFormat="1" applyFont="1" applyBorder="1" applyAlignment="1">
      <alignment horizontal="center" vertical="center" wrapText="1"/>
    </xf>
    <xf numFmtId="167" fontId="7" fillId="0" borderId="1" xfId="0" applyNumberFormat="1" applyFont="1" applyBorder="1" applyAlignment="1">
      <alignment vertical="center"/>
    </xf>
    <xf numFmtId="167" fontId="6" fillId="0" borderId="1" xfId="0" applyNumberFormat="1" applyFont="1" applyBorder="1" applyAlignment="1">
      <alignment vertical="center"/>
    </xf>
    <xf numFmtId="170" fontId="20" fillId="0" borderId="2" xfId="0" applyNumberFormat="1" applyFont="1" applyBorder="1" applyAlignment="1">
      <alignment horizontal="right" vertical="center" wrapText="1"/>
    </xf>
    <xf numFmtId="167" fontId="7" fillId="0" borderId="1" xfId="0" applyNumberFormat="1" applyFont="1" applyBorder="1"/>
    <xf numFmtId="0" fontId="26" fillId="0" borderId="2" xfId="0" applyFont="1" applyBorder="1" applyAlignment="1">
      <alignment horizontal="left" vertical="center" wrapText="1"/>
    </xf>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167" fontId="7" fillId="0" borderId="1" xfId="0" applyNumberFormat="1" applyFont="1" applyBorder="1" applyAlignment="1">
      <alignment horizontal="center" vertical="top" wrapText="1"/>
    </xf>
    <xf numFmtId="165" fontId="7" fillId="0" borderId="1" xfId="0" applyNumberFormat="1" applyFont="1" applyBorder="1" applyAlignment="1">
      <alignment horizontal="center" vertical="top" wrapText="1"/>
    </xf>
    <xf numFmtId="165" fontId="7" fillId="0" borderId="1" xfId="0" applyNumberFormat="1" applyFont="1" applyBorder="1" applyAlignment="1">
      <alignment horizontal="right" vertical="center"/>
    </xf>
    <xf numFmtId="165" fontId="6" fillId="0" borderId="1" xfId="0" applyNumberFormat="1" applyFont="1" applyBorder="1" applyAlignment="1">
      <alignment horizontal="right" vertical="center"/>
    </xf>
    <xf numFmtId="0" fontId="5" fillId="0" borderId="1" xfId="0" applyFont="1" applyBorder="1" applyAlignment="1">
      <alignment horizontal="center"/>
    </xf>
    <xf numFmtId="0" fontId="5" fillId="0" borderId="1" xfId="0" applyFont="1" applyBorder="1" applyAlignment="1">
      <alignment wrapText="1"/>
    </xf>
    <xf numFmtId="0" fontId="6" fillId="0" borderId="1" xfId="0" applyFont="1" applyBorder="1" applyAlignment="1">
      <alignment horizontal="center"/>
    </xf>
    <xf numFmtId="0" fontId="6" fillId="0" borderId="1" xfId="0" applyFont="1" applyBorder="1" applyAlignment="1">
      <alignment vertical="top" wrapText="1"/>
    </xf>
    <xf numFmtId="167" fontId="6" fillId="0" borderId="1" xfId="0" applyNumberFormat="1"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3" fillId="0" borderId="1" xfId="0" applyFont="1" applyBorder="1" applyAlignment="1">
      <alignment horizontal="center"/>
    </xf>
    <xf numFmtId="165" fontId="6" fillId="0" borderId="1" xfId="0" applyNumberFormat="1" applyFont="1" applyBorder="1" applyAlignment="1">
      <alignment horizontal="right"/>
    </xf>
    <xf numFmtId="49" fontId="6" fillId="2" borderId="1" xfId="0" applyNumberFormat="1" applyFont="1" applyFill="1" applyBorder="1" applyAlignment="1" applyProtection="1">
      <alignment horizontal="center" vertical="center"/>
      <protection locked="0"/>
    </xf>
    <xf numFmtId="166" fontId="6" fillId="0" borderId="1" xfId="0" applyNumberFormat="1" applyFont="1" applyBorder="1" applyAlignment="1" applyProtection="1">
      <alignment horizontal="left" vertical="center" wrapText="1"/>
      <protection locked="0"/>
    </xf>
    <xf numFmtId="167" fontId="6" fillId="0" borderId="1" xfId="0" applyNumberFormat="1" applyFont="1" applyBorder="1" applyAlignment="1">
      <alignment horizontal="right" vertical="top"/>
    </xf>
    <xf numFmtId="168" fontId="7" fillId="2" borderId="1" xfId="0" applyNumberFormat="1" applyFont="1" applyFill="1" applyBorder="1" applyAlignment="1">
      <alignment horizontal="right" vertical="center" wrapText="1"/>
    </xf>
    <xf numFmtId="49" fontId="5" fillId="2" borderId="1" xfId="0" applyNumberFormat="1" applyFont="1" applyFill="1" applyBorder="1" applyAlignment="1">
      <alignment horizontal="center" vertical="top"/>
    </xf>
    <xf numFmtId="166" fontId="5" fillId="2" borderId="1" xfId="0" applyNumberFormat="1" applyFont="1" applyFill="1" applyBorder="1" applyAlignment="1">
      <alignment horizontal="left" vertical="top" wrapText="1"/>
    </xf>
    <xf numFmtId="49" fontId="6" fillId="2" borderId="1" xfId="0" applyNumberFormat="1" applyFont="1" applyFill="1" applyBorder="1" applyAlignment="1" applyProtection="1">
      <alignment horizontal="center" vertical="top"/>
      <protection locked="0"/>
    </xf>
    <xf numFmtId="166" fontId="6" fillId="2" borderId="1" xfId="0" applyNumberFormat="1" applyFont="1" applyFill="1" applyBorder="1" applyAlignment="1" applyProtection="1">
      <alignment horizontal="left" wrapText="1"/>
      <protection locked="0"/>
    </xf>
    <xf numFmtId="0" fontId="6" fillId="2" borderId="1" xfId="0" applyFont="1" applyFill="1" applyBorder="1" applyAlignment="1">
      <alignment wrapText="1"/>
    </xf>
    <xf numFmtId="2" fontId="6" fillId="2" borderId="1" xfId="0" applyNumberFormat="1" applyFont="1" applyFill="1" applyBorder="1" applyAlignment="1">
      <alignment wrapText="1"/>
    </xf>
    <xf numFmtId="166" fontId="6" fillId="2" borderId="1" xfId="0" applyNumberFormat="1" applyFont="1" applyFill="1" applyBorder="1" applyAlignment="1" applyProtection="1">
      <alignment horizontal="left" vertical="top" wrapText="1"/>
      <protection locked="0"/>
    </xf>
    <xf numFmtId="166" fontId="6" fillId="0" borderId="1"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center" vertical="top"/>
      <protection locked="0"/>
    </xf>
    <xf numFmtId="166" fontId="5" fillId="0" borderId="1" xfId="0" applyNumberFormat="1" applyFont="1" applyBorder="1" applyAlignment="1">
      <alignment horizontal="left" vertical="top" wrapText="1"/>
    </xf>
    <xf numFmtId="166" fontId="6" fillId="0" borderId="1" xfId="0" applyNumberFormat="1" applyFont="1" applyBorder="1" applyAlignment="1" applyProtection="1">
      <alignment vertical="top" wrapText="1"/>
      <protection locked="0"/>
    </xf>
    <xf numFmtId="0" fontId="6" fillId="0" borderId="1" xfId="0" applyFont="1" applyBorder="1" applyAlignment="1">
      <alignment horizontal="left" vertical="top" wrapText="1"/>
    </xf>
    <xf numFmtId="49" fontId="6" fillId="0" borderId="1" xfId="0" applyNumberFormat="1" applyFont="1" applyBorder="1" applyAlignment="1">
      <alignment horizontal="center" vertical="center"/>
    </xf>
    <xf numFmtId="0" fontId="6" fillId="0" borderId="0" xfId="0" applyFont="1" applyAlignment="1">
      <alignment horizontal="left" vertical="center" wrapText="1"/>
    </xf>
    <xf numFmtId="37" fontId="20" fillId="0" borderId="2" xfId="0" applyNumberFormat="1" applyFont="1" applyBorder="1" applyAlignment="1">
      <alignment horizontal="left" vertical="center" wrapText="1"/>
    </xf>
    <xf numFmtId="49" fontId="5" fillId="2" borderId="1" xfId="0" applyNumberFormat="1" applyFont="1" applyFill="1" applyBorder="1" applyAlignment="1" applyProtection="1">
      <alignment horizontal="center" vertical="top"/>
      <protection locked="0"/>
    </xf>
    <xf numFmtId="0" fontId="6" fillId="2" borderId="0" xfId="0" applyFont="1" applyFill="1" applyAlignment="1">
      <alignment vertical="top" wrapText="1"/>
    </xf>
    <xf numFmtId="0" fontId="6" fillId="2" borderId="1" xfId="0" applyFont="1" applyFill="1" applyBorder="1" applyAlignment="1">
      <alignment horizontal="left" vertical="top" wrapText="1"/>
    </xf>
    <xf numFmtId="0" fontId="6" fillId="2" borderId="10" xfId="0" applyFont="1" applyFill="1" applyBorder="1" applyAlignment="1">
      <alignment vertical="top" wrapText="1"/>
    </xf>
    <xf numFmtId="0" fontId="6" fillId="2" borderId="11" xfId="0" applyFont="1" applyFill="1" applyBorder="1" applyAlignment="1">
      <alignment vertical="top" wrapText="1"/>
    </xf>
    <xf numFmtId="0" fontId="6" fillId="2" borderId="1" xfId="0" applyFont="1" applyFill="1" applyBorder="1"/>
    <xf numFmtId="0" fontId="14" fillId="2" borderId="0" xfId="0" applyFont="1" applyFill="1"/>
    <xf numFmtId="0" fontId="6" fillId="2" borderId="1" xfId="0" applyFont="1" applyFill="1" applyBorder="1" applyAlignment="1">
      <alignment vertical="top" wrapText="1"/>
    </xf>
    <xf numFmtId="165" fontId="7" fillId="2" borderId="1" xfId="0" applyNumberFormat="1" applyFont="1" applyFill="1" applyBorder="1" applyAlignment="1">
      <alignment horizontal="right" vertical="center" wrapText="1"/>
    </xf>
    <xf numFmtId="167" fontId="11" fillId="2" borderId="1" xfId="0" applyNumberFormat="1" applyFont="1" applyFill="1" applyBorder="1" applyAlignment="1">
      <alignment horizontal="right" vertical="center" wrapText="1"/>
    </xf>
    <xf numFmtId="166" fontId="6" fillId="2" borderId="1" xfId="0" applyNumberFormat="1" applyFont="1" applyFill="1" applyBorder="1" applyAlignment="1" applyProtection="1">
      <alignment horizontal="left" vertical="center" wrapText="1"/>
      <protection locked="0"/>
    </xf>
    <xf numFmtId="167" fontId="7" fillId="2" borderId="5" xfId="0" applyNumberFormat="1" applyFont="1" applyFill="1" applyBorder="1" applyAlignment="1">
      <alignment horizontal="right" vertical="center" wrapText="1"/>
    </xf>
    <xf numFmtId="0" fontId="18" fillId="0" borderId="0" xfId="0" applyFont="1"/>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vertical="center" wrapText="1"/>
    </xf>
    <xf numFmtId="0" fontId="18" fillId="2" borderId="0" xfId="0" applyFont="1" applyFill="1" applyAlignment="1">
      <alignment horizontal="left" vertical="center" wrapText="1"/>
    </xf>
    <xf numFmtId="0" fontId="18" fillId="2" borderId="1" xfId="0" applyFont="1" applyFill="1" applyBorder="1"/>
    <xf numFmtId="0" fontId="6" fillId="2" borderId="1" xfId="0" applyFont="1" applyFill="1" applyBorder="1" applyAlignment="1">
      <alignment horizontal="left" vertical="center"/>
    </xf>
    <xf numFmtId="164" fontId="6" fillId="2" borderId="1" xfId="0" applyNumberFormat="1" applyFont="1" applyFill="1" applyBorder="1" applyAlignment="1">
      <alignment horizontal="right" vertical="center" wrapText="1"/>
    </xf>
    <xf numFmtId="49" fontId="5" fillId="2" borderId="5" xfId="0" applyNumberFormat="1" applyFont="1" applyFill="1" applyBorder="1" applyAlignment="1" applyProtection="1">
      <alignment horizontal="center" vertical="center" wrapText="1"/>
      <protection locked="0"/>
    </xf>
    <xf numFmtId="168" fontId="7" fillId="2" borderId="5" xfId="0" applyNumberFormat="1" applyFont="1" applyFill="1" applyBorder="1" applyAlignment="1">
      <alignment horizontal="right" vertical="center" wrapText="1"/>
    </xf>
    <xf numFmtId="0" fontId="6" fillId="0" borderId="1" xfId="0" applyFont="1" applyBorder="1" applyAlignment="1">
      <alignment horizontal="center" vertical="center" wrapText="1"/>
    </xf>
    <xf numFmtId="0" fontId="20" fillId="2" borderId="2" xfId="0" applyFont="1" applyFill="1" applyBorder="1" applyAlignment="1">
      <alignment horizontal="left" vertical="center" wrapText="1"/>
    </xf>
    <xf numFmtId="167" fontId="7" fillId="2" borderId="1" xfId="0" applyNumberFormat="1" applyFont="1" applyFill="1" applyBorder="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49" fontId="7" fillId="2" borderId="1" xfId="0" applyNumberFormat="1"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49" fontId="6" fillId="2" borderId="1" xfId="0" applyNumberFormat="1" applyFont="1" applyFill="1" applyBorder="1" applyAlignment="1" applyProtection="1">
      <alignment horizontal="center" wrapText="1"/>
      <protection locked="0"/>
    </xf>
    <xf numFmtId="0" fontId="18" fillId="2" borderId="0" xfId="0" applyFont="1" applyFill="1"/>
    <xf numFmtId="0" fontId="6" fillId="2" borderId="1" xfId="0" applyFont="1" applyFill="1" applyBorder="1" applyAlignment="1">
      <alignment horizontal="justify" wrapText="1"/>
    </xf>
    <xf numFmtId="49" fontId="5" fillId="2" borderId="1" xfId="0" applyNumberFormat="1" applyFont="1" applyFill="1" applyBorder="1" applyAlignment="1" applyProtection="1">
      <alignment horizontal="center" wrapText="1"/>
      <protection locked="0"/>
    </xf>
    <xf numFmtId="0" fontId="5" fillId="2" borderId="1" xfId="0" applyFont="1" applyFill="1" applyBorder="1" applyAlignment="1">
      <alignment wrapText="1"/>
    </xf>
    <xf numFmtId="49" fontId="7" fillId="2" borderId="1" xfId="0" applyNumberFormat="1" applyFont="1" applyFill="1" applyBorder="1" applyAlignment="1" applyProtection="1">
      <alignment horizontal="center" wrapText="1"/>
      <protection locked="0"/>
    </xf>
    <xf numFmtId="0" fontId="6" fillId="2" borderId="1" xfId="0" applyFont="1" applyFill="1" applyBorder="1" applyAlignment="1">
      <alignment horizontal="right" vertical="top" wrapText="1"/>
    </xf>
    <xf numFmtId="0" fontId="29" fillId="2" borderId="1" xfId="0" applyFont="1" applyFill="1" applyBorder="1" applyAlignment="1">
      <alignment horizontal="right" vertical="top" wrapText="1"/>
    </xf>
    <xf numFmtId="167" fontId="29" fillId="2" borderId="1" xfId="0" applyNumberFormat="1" applyFont="1" applyFill="1" applyBorder="1" applyAlignment="1">
      <alignment horizontal="right" vertical="center"/>
    </xf>
    <xf numFmtId="0" fontId="5" fillId="2" borderId="1" xfId="0" applyFont="1" applyFill="1" applyBorder="1" applyAlignment="1">
      <alignment horizontal="left" vertical="top" wrapText="1"/>
    </xf>
    <xf numFmtId="0" fontId="18" fillId="2" borderId="0" xfId="0" applyFont="1" applyFill="1" applyAlignment="1">
      <alignment vertical="center" wrapText="1"/>
    </xf>
    <xf numFmtId="167" fontId="28" fillId="0" borderId="1" xfId="0" applyNumberFormat="1" applyFont="1" applyBorder="1" applyAlignment="1">
      <alignment horizontal="right" vertical="center" wrapText="1"/>
    </xf>
    <xf numFmtId="168" fontId="28" fillId="0" borderId="1" xfId="0" applyNumberFormat="1" applyFont="1" applyBorder="1" applyAlignment="1">
      <alignment horizontal="right" vertical="center" wrapText="1"/>
    </xf>
    <xf numFmtId="167" fontId="28" fillId="2" borderId="1" xfId="0" applyNumberFormat="1" applyFont="1" applyFill="1" applyBorder="1" applyAlignment="1">
      <alignment horizontal="right" vertical="center" wrapText="1"/>
    </xf>
    <xf numFmtId="168" fontId="28" fillId="2" borderId="1" xfId="0" applyNumberFormat="1" applyFont="1" applyFill="1" applyBorder="1" applyAlignment="1">
      <alignment horizontal="right" vertical="center" wrapText="1"/>
    </xf>
    <xf numFmtId="49" fontId="5" fillId="2" borderId="1" xfId="0" applyNumberFormat="1" applyFont="1" applyFill="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0" fontId="7" fillId="0" borderId="1" xfId="0" applyFont="1" applyBorder="1" applyAlignment="1">
      <alignment horizontal="left" vertical="center" wrapText="1"/>
    </xf>
    <xf numFmtId="0" fontId="6" fillId="0" borderId="1" xfId="0" applyFont="1" applyBorder="1" applyAlignment="1">
      <alignment horizontal="right" vertical="top" wrapText="1"/>
    </xf>
    <xf numFmtId="49" fontId="7" fillId="0" borderId="1" xfId="0" applyNumberFormat="1" applyFont="1" applyBorder="1" applyAlignment="1" applyProtection="1">
      <alignment horizontal="center" vertical="top"/>
      <protection locked="0"/>
    </xf>
    <xf numFmtId="0" fontId="7" fillId="0" borderId="1" xfId="0" applyFont="1" applyBorder="1" applyAlignment="1">
      <alignment vertical="top" wrapText="1"/>
    </xf>
    <xf numFmtId="167" fontId="7" fillId="0" borderId="1" xfId="0" applyNumberFormat="1" applyFont="1" applyBorder="1" applyAlignment="1">
      <alignment horizontal="right" vertical="top"/>
    </xf>
    <xf numFmtId="0" fontId="5" fillId="0" borderId="1" xfId="0" applyFont="1" applyBorder="1" applyAlignment="1">
      <alignment vertical="top" wrapText="1"/>
    </xf>
    <xf numFmtId="49" fontId="5" fillId="0" borderId="1" xfId="0" applyNumberFormat="1" applyFont="1" applyBorder="1" applyAlignment="1" applyProtection="1">
      <alignment horizontal="center" vertical="center"/>
      <protection locked="0"/>
    </xf>
    <xf numFmtId="0" fontId="5" fillId="0" borderId="1" xfId="0" applyFont="1" applyBorder="1" applyAlignment="1">
      <alignment horizontal="left" vertical="center" wrapText="1"/>
    </xf>
    <xf numFmtId="0" fontId="20" fillId="2" borderId="9" xfId="0" applyFont="1" applyFill="1" applyBorder="1" applyAlignment="1">
      <alignment horizontal="left" vertical="center" wrapText="1"/>
    </xf>
    <xf numFmtId="0" fontId="5" fillId="2" borderId="1" xfId="0" applyFont="1" applyFill="1" applyBorder="1"/>
    <xf numFmtId="167" fontId="30" fillId="0" borderId="1" xfId="0" applyNumberFormat="1" applyFont="1" applyBorder="1" applyAlignment="1">
      <alignment horizontal="right" vertical="center" wrapText="1"/>
    </xf>
    <xf numFmtId="168" fontId="30" fillId="0" borderId="1" xfId="0" applyNumberFormat="1" applyFont="1" applyBorder="1" applyAlignment="1">
      <alignment horizontal="right" vertical="center" wrapText="1"/>
    </xf>
    <xf numFmtId="164" fontId="6" fillId="0" borderId="1" xfId="0" applyNumberFormat="1" applyFont="1" applyBorder="1" applyAlignment="1">
      <alignment horizontal="right" vertical="center" wrapText="1"/>
    </xf>
    <xf numFmtId="0" fontId="5" fillId="0" borderId="1" xfId="0" applyFont="1" applyBorder="1" applyAlignment="1">
      <alignment horizontal="center" vertical="top"/>
    </xf>
    <xf numFmtId="0" fontId="5" fillId="0" borderId="1" xfId="0" applyFont="1" applyBorder="1" applyAlignment="1">
      <alignment horizontal="left" vertical="top" wrapText="1"/>
    </xf>
    <xf numFmtId="165" fontId="7" fillId="0" borderId="1" xfId="0" applyNumberFormat="1" applyFont="1" applyBorder="1" applyAlignment="1">
      <alignment horizontal="righ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7" fontId="20" fillId="0" borderId="2" xfId="0" applyNumberFormat="1" applyFont="1" applyBorder="1" applyAlignment="1">
      <alignment horizontal="right" vertical="center" wrapText="1"/>
    </xf>
    <xf numFmtId="167" fontId="21" fillId="0" borderId="1" xfId="0" applyNumberFormat="1" applyFont="1" applyBorder="1" applyAlignment="1">
      <alignment vertical="center"/>
    </xf>
    <xf numFmtId="167" fontId="21" fillId="0" borderId="1" xfId="0" applyNumberFormat="1" applyFont="1" applyBorder="1" applyAlignment="1">
      <alignment horizontal="right" vertical="center" wrapText="1"/>
    </xf>
    <xf numFmtId="167" fontId="21" fillId="0" borderId="1" xfId="0" applyNumberFormat="1" applyFont="1" applyBorder="1" applyAlignment="1">
      <alignment horizontal="right" vertical="center"/>
    </xf>
    <xf numFmtId="167" fontId="15" fillId="0" borderId="1" xfId="0" applyNumberFormat="1" applyFont="1" applyBorder="1" applyAlignment="1">
      <alignment horizontal="right"/>
    </xf>
    <xf numFmtId="165" fontId="15" fillId="0" borderId="1" xfId="0" applyNumberFormat="1" applyFont="1" applyBorder="1" applyAlignment="1">
      <alignment horizontal="right"/>
    </xf>
    <xf numFmtId="167" fontId="23" fillId="0" borderId="0" xfId="0" applyNumberFormat="1" applyFont="1" applyAlignment="1">
      <alignment horizontal="right" vertical="center" wrapText="1"/>
    </xf>
    <xf numFmtId="167" fontId="10" fillId="0" borderId="1" xfId="0" applyNumberFormat="1" applyFont="1" applyBorder="1" applyAlignment="1">
      <alignment horizontal="right"/>
    </xf>
    <xf numFmtId="167" fontId="20" fillId="0" borderId="9" xfId="0" applyNumberFormat="1" applyFont="1" applyBorder="1" applyAlignment="1">
      <alignment horizontal="right" vertical="center" wrapText="1"/>
    </xf>
    <xf numFmtId="167" fontId="20" fillId="0" borderId="1" xfId="0" applyNumberFormat="1" applyFont="1" applyBorder="1" applyAlignment="1">
      <alignment horizontal="right" vertical="center" wrapText="1"/>
    </xf>
    <xf numFmtId="167" fontId="20" fillId="0" borderId="12" xfId="0" applyNumberFormat="1" applyFont="1" applyBorder="1" applyAlignment="1">
      <alignment horizontal="right" vertical="center" wrapText="1"/>
    </xf>
    <xf numFmtId="167" fontId="6" fillId="0" borderId="8" xfId="0" applyNumberFormat="1" applyFont="1" applyBorder="1" applyAlignment="1">
      <alignment horizontal="right" vertical="center"/>
    </xf>
    <xf numFmtId="167" fontId="6" fillId="0" borderId="0" xfId="0" applyNumberFormat="1" applyFont="1" applyAlignment="1">
      <alignment horizontal="right" vertical="center"/>
    </xf>
    <xf numFmtId="167" fontId="20" fillId="0" borderId="0" xfId="0" applyNumberFormat="1" applyFont="1" applyAlignment="1">
      <alignment horizontal="right" vertical="center" wrapText="1"/>
    </xf>
    <xf numFmtId="0" fontId="7" fillId="0" borderId="1" xfId="0" applyFont="1" applyBorder="1" applyAlignment="1">
      <alignment horizontal="center" vertical="center"/>
    </xf>
    <xf numFmtId="1"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vertical="top" wrapText="1"/>
    </xf>
    <xf numFmtId="0" fontId="20" fillId="0" borderId="2" xfId="0" applyFont="1" applyBorder="1" applyAlignment="1">
      <alignment horizontal="left" vertical="center" wrapText="1"/>
    </xf>
    <xf numFmtId="49" fontId="7" fillId="0" borderId="1" xfId="0" applyNumberFormat="1" applyFont="1" applyBorder="1" applyAlignment="1">
      <alignment horizontal="center" vertical="center" wrapText="1"/>
    </xf>
    <xf numFmtId="0" fontId="23" fillId="0" borderId="0" xfId="0" applyFont="1" applyAlignment="1">
      <alignment horizontal="left" vertical="center" wrapText="1"/>
    </xf>
    <xf numFmtId="0" fontId="6" fillId="0" borderId="0" xfId="0" applyFont="1" applyAlignment="1">
      <alignment vertical="center" wrapText="1"/>
    </xf>
    <xf numFmtId="49" fontId="6" fillId="0" borderId="1" xfId="0" applyNumberFormat="1" applyFont="1" applyBorder="1" applyAlignment="1">
      <alignment horizontal="left" vertical="top" wrapText="1"/>
    </xf>
    <xf numFmtId="0" fontId="20" fillId="0" borderId="1" xfId="0" applyFont="1" applyBorder="1" applyAlignment="1">
      <alignment horizontal="left" vertical="top" wrapText="1"/>
    </xf>
    <xf numFmtId="0" fontId="7" fillId="0" borderId="1" xfId="0" applyFont="1" applyBorder="1" applyAlignment="1">
      <alignment horizontal="right" vertical="center"/>
    </xf>
    <xf numFmtId="0" fontId="6" fillId="0" borderId="0" xfId="0" applyFont="1" applyAlignment="1">
      <alignment horizontal="left" wrapText="1"/>
    </xf>
    <xf numFmtId="0" fontId="9" fillId="0" borderId="0" xfId="0" applyFont="1" applyAlignment="1">
      <alignment horizontal="center" vertical="center" wrapText="1"/>
    </xf>
    <xf numFmtId="167" fontId="9" fillId="0" borderId="0" xfId="0" applyNumberFormat="1" applyFont="1" applyAlignment="1">
      <alignment horizontal="center" vertical="center" wrapText="1"/>
    </xf>
    <xf numFmtId="0" fontId="13" fillId="0" borderId="0" xfId="0" applyFont="1" applyAlignment="1">
      <alignment horizontal="center" vertical="center" wrapText="1"/>
    </xf>
    <xf numFmtId="165" fontId="9" fillId="0" borderId="0" xfId="0" applyNumberFormat="1" applyFont="1" applyAlignment="1">
      <alignment horizontal="center" vertical="center" wrapText="1"/>
    </xf>
    <xf numFmtId="165" fontId="7" fillId="0" borderId="1" xfId="0" applyNumberFormat="1" applyFont="1" applyBorder="1" applyAlignment="1">
      <alignment horizontal="center" vertical="center" wrapText="1"/>
    </xf>
    <xf numFmtId="0" fontId="8" fillId="0" borderId="0" xfId="0" applyFont="1"/>
    <xf numFmtId="0" fontId="16"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27" fillId="0" borderId="3" xfId="0" applyFont="1" applyBorder="1" applyAlignment="1">
      <alignment horizontal="left" vertical="center" wrapText="1"/>
    </xf>
    <xf numFmtId="0" fontId="27" fillId="0" borderId="7" xfId="0" applyFont="1" applyBorder="1" applyAlignment="1">
      <alignment horizontal="left" vertical="center" wrapText="1"/>
    </xf>
    <xf numFmtId="0" fontId="5" fillId="0" borderId="1" xfId="0" applyFont="1" applyBorder="1" applyAlignment="1">
      <alignment horizontal="center"/>
    </xf>
    <xf numFmtId="0" fontId="4" fillId="0" borderId="1" xfId="0" applyFont="1" applyBorder="1" applyAlignment="1">
      <alignment horizontal="center"/>
    </xf>
    <xf numFmtId="165" fontId="12" fillId="0" borderId="0" xfId="0" applyNumberFormat="1" applyFont="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Z301"/>
  <sheetViews>
    <sheetView tabSelected="1" view="pageBreakPreview" zoomScale="65" zoomScaleNormal="60" zoomScaleSheetLayoutView="75" workbookViewId="0">
      <selection activeCell="A2" sqref="A2:J2"/>
    </sheetView>
  </sheetViews>
  <sheetFormatPr defaultColWidth="8.85546875" defaultRowHeight="18.75" x14ac:dyDescent="0.3"/>
  <cols>
    <col min="1" max="1" width="19.28515625" style="4" customWidth="1"/>
    <col min="2" max="2" width="120.28515625" style="5" customWidth="1"/>
    <col min="3" max="3" width="20.7109375" style="6" customWidth="1"/>
    <col min="4" max="4" width="21.28515625" style="6" customWidth="1"/>
    <col min="5" max="5" width="17.42578125" style="7" customWidth="1"/>
    <col min="6" max="6" width="18.140625" style="8" customWidth="1"/>
    <col min="7" max="7" width="20.5703125" style="6" customWidth="1"/>
    <col min="8" max="8" width="21.140625" style="6" customWidth="1"/>
    <col min="9" max="9" width="20.140625" style="6" customWidth="1"/>
    <col min="10" max="10" width="18.85546875" style="13" customWidth="1"/>
    <col min="11" max="16384" width="8.85546875" style="1"/>
  </cols>
  <sheetData>
    <row r="1" spans="1:26" ht="15.75" customHeight="1" x14ac:dyDescent="0.3">
      <c r="H1" s="183"/>
      <c r="I1" s="183"/>
      <c r="J1" s="183"/>
    </row>
    <row r="2" spans="1:26" ht="66" customHeight="1" x14ac:dyDescent="0.2">
      <c r="A2" s="199" t="s">
        <v>416</v>
      </c>
      <c r="B2" s="199"/>
      <c r="C2" s="199"/>
      <c r="D2" s="199"/>
      <c r="E2" s="199"/>
      <c r="F2" s="199"/>
      <c r="G2" s="199"/>
      <c r="H2" s="199"/>
      <c r="I2" s="199"/>
      <c r="J2" s="199"/>
    </row>
    <row r="3" spans="1:26" ht="28.5" customHeight="1" x14ac:dyDescent="0.2">
      <c r="A3" s="184"/>
      <c r="B3" s="184"/>
      <c r="C3" s="184"/>
      <c r="D3" s="185"/>
      <c r="E3" s="186"/>
      <c r="F3" s="186"/>
      <c r="G3" s="184"/>
      <c r="H3" s="184"/>
      <c r="I3" s="184"/>
      <c r="J3" s="187"/>
    </row>
    <row r="4" spans="1:26" ht="21" customHeight="1" x14ac:dyDescent="0.2">
      <c r="A4" s="201" t="s">
        <v>2</v>
      </c>
      <c r="B4" s="201" t="s">
        <v>3</v>
      </c>
      <c r="C4" s="200" t="s">
        <v>0</v>
      </c>
      <c r="D4" s="200"/>
      <c r="E4" s="200"/>
      <c r="F4" s="200"/>
      <c r="G4" s="200" t="s">
        <v>1</v>
      </c>
      <c r="H4" s="200"/>
      <c r="I4" s="200"/>
      <c r="J4" s="200"/>
    </row>
    <row r="5" spans="1:26" s="189" customFormat="1" ht="90" customHeight="1" x14ac:dyDescent="0.25">
      <c r="A5" s="201"/>
      <c r="B5" s="201"/>
      <c r="C5" s="52" t="s">
        <v>417</v>
      </c>
      <c r="D5" s="52" t="s">
        <v>418</v>
      </c>
      <c r="E5" s="52" t="s">
        <v>269</v>
      </c>
      <c r="F5" s="188" t="s">
        <v>268</v>
      </c>
      <c r="G5" s="52" t="s">
        <v>417</v>
      </c>
      <c r="H5" s="52" t="s">
        <v>418</v>
      </c>
      <c r="I5" s="52" t="s">
        <v>269</v>
      </c>
      <c r="J5" s="188" t="s">
        <v>268</v>
      </c>
    </row>
    <row r="6" spans="1:26" customFormat="1" ht="24" customHeight="1" x14ac:dyDescent="0.2">
      <c r="A6" s="190">
        <v>1</v>
      </c>
      <c r="B6" s="190">
        <v>2</v>
      </c>
      <c r="C6" s="191">
        <v>3</v>
      </c>
      <c r="D6" s="191">
        <v>4</v>
      </c>
      <c r="E6" s="192">
        <v>5</v>
      </c>
      <c r="F6" s="193">
        <v>6</v>
      </c>
      <c r="G6" s="191">
        <v>7</v>
      </c>
      <c r="H6" s="191">
        <v>8</v>
      </c>
      <c r="I6" s="191">
        <v>9</v>
      </c>
      <c r="J6" s="194">
        <v>10</v>
      </c>
    </row>
    <row r="7" spans="1:26" ht="22.5" customHeight="1" x14ac:dyDescent="0.2">
      <c r="A7" s="202" t="s">
        <v>271</v>
      </c>
      <c r="B7" s="203"/>
      <c r="C7" s="203"/>
      <c r="D7" s="203"/>
      <c r="E7" s="203"/>
      <c r="F7" s="203"/>
      <c r="G7" s="203"/>
      <c r="H7" s="203"/>
      <c r="I7" s="203"/>
      <c r="J7" s="204"/>
    </row>
    <row r="8" spans="1:26" s="9" customFormat="1" x14ac:dyDescent="0.25">
      <c r="A8" s="171">
        <v>10000000</v>
      </c>
      <c r="B8" s="139" t="s">
        <v>202</v>
      </c>
      <c r="C8" s="51">
        <f>C9+C18+C19+C25+C45</f>
        <v>2747537.9569999999</v>
      </c>
      <c r="D8" s="51">
        <f>D9+D18+D19+D25+D45</f>
        <v>3361043.2477099998</v>
      </c>
      <c r="E8" s="45">
        <f>D8-C8</f>
        <v>613505.29070999986</v>
      </c>
      <c r="F8" s="154">
        <f>D8/C8*100</f>
        <v>122.32927443811835</v>
      </c>
      <c r="G8" s="51">
        <f>G44</f>
        <v>639.21</v>
      </c>
      <c r="H8" s="51">
        <f>H44</f>
        <v>828.7278</v>
      </c>
      <c r="I8" s="45">
        <f>SUM(H8-G8)</f>
        <v>189.51779999999997</v>
      </c>
      <c r="J8" s="154">
        <f>H8/G8*100</f>
        <v>129.64875393063312</v>
      </c>
    </row>
    <row r="9" spans="1:26" s="2" customFormat="1" x14ac:dyDescent="0.25">
      <c r="A9" s="69">
        <v>11000000</v>
      </c>
      <c r="B9" s="70" t="s">
        <v>203</v>
      </c>
      <c r="C9" s="31">
        <f>C10+C16</f>
        <v>1644436.274</v>
      </c>
      <c r="D9" s="31">
        <f>D10+D16</f>
        <v>2055643.4099699999</v>
      </c>
      <c r="E9" s="27">
        <f t="shared" ref="E9:E68" si="0">D9-C9</f>
        <v>411207.13596999994</v>
      </c>
      <c r="F9" s="29">
        <f t="shared" ref="F9:F68" si="1">D9/C9*100</f>
        <v>125.00596359199506</v>
      </c>
      <c r="G9" s="31"/>
      <c r="H9" s="31"/>
      <c r="I9" s="27"/>
      <c r="J9" s="29"/>
      <c r="Z9" s="1"/>
    </row>
    <row r="10" spans="1:26" s="2" customFormat="1" x14ac:dyDescent="0.25">
      <c r="A10" s="69">
        <v>11010000</v>
      </c>
      <c r="B10" s="70" t="s">
        <v>204</v>
      </c>
      <c r="C10" s="54">
        <f>SUM(C11:C15)</f>
        <v>1641136.8540000001</v>
      </c>
      <c r="D10" s="31">
        <f>D11+D12+D13+D14+D15</f>
        <v>2048504.22893</v>
      </c>
      <c r="E10" s="27">
        <f t="shared" si="0"/>
        <v>407367.37492999993</v>
      </c>
      <c r="F10" s="29">
        <f t="shared" si="1"/>
        <v>124.82226719466505</v>
      </c>
      <c r="G10" s="31"/>
      <c r="H10" s="31"/>
      <c r="I10" s="27"/>
      <c r="J10" s="29"/>
    </row>
    <row r="11" spans="1:26" s="2" customFormat="1" ht="37.5" x14ac:dyDescent="0.25">
      <c r="A11" s="69">
        <v>11010100</v>
      </c>
      <c r="B11" s="70" t="s">
        <v>205</v>
      </c>
      <c r="C11" s="54">
        <v>1544963.6270000001</v>
      </c>
      <c r="D11" s="31">
        <v>1824311.7039399999</v>
      </c>
      <c r="E11" s="27">
        <f t="shared" si="0"/>
        <v>279348.07693999982</v>
      </c>
      <c r="F11" s="29">
        <f t="shared" si="1"/>
        <v>118.08120735388677</v>
      </c>
      <c r="G11" s="31"/>
      <c r="H11" s="31"/>
      <c r="I11" s="27"/>
      <c r="J11" s="29"/>
    </row>
    <row r="12" spans="1:26" s="2" customFormat="1" ht="37.5" x14ac:dyDescent="0.25">
      <c r="A12" s="172">
        <v>11010400</v>
      </c>
      <c r="B12" s="70" t="s">
        <v>206</v>
      </c>
      <c r="C12" s="54">
        <v>54059.398000000001</v>
      </c>
      <c r="D12" s="157">
        <v>80640.036269999997</v>
      </c>
      <c r="E12" s="27">
        <f t="shared" si="0"/>
        <v>26580.638269999996</v>
      </c>
      <c r="F12" s="29">
        <f t="shared" si="1"/>
        <v>149.16931977303926</v>
      </c>
      <c r="G12" s="31"/>
      <c r="H12" s="31"/>
      <c r="I12" s="27"/>
      <c r="J12" s="29"/>
    </row>
    <row r="13" spans="1:26" s="2" customFormat="1" ht="37.5" x14ac:dyDescent="0.25">
      <c r="A13" s="172">
        <v>11010500</v>
      </c>
      <c r="B13" s="70" t="s">
        <v>207</v>
      </c>
      <c r="C13" s="54">
        <v>40815.921000000002</v>
      </c>
      <c r="D13" s="157">
        <v>120850.84434</v>
      </c>
      <c r="E13" s="27">
        <f t="shared" si="0"/>
        <v>80034.923339999994</v>
      </c>
      <c r="F13" s="29" t="s">
        <v>481</v>
      </c>
      <c r="G13" s="31"/>
      <c r="H13" s="31"/>
      <c r="I13" s="27"/>
      <c r="J13" s="29"/>
    </row>
    <row r="14" spans="1:26" s="2" customFormat="1" x14ac:dyDescent="0.25">
      <c r="A14" s="172">
        <v>11011200</v>
      </c>
      <c r="B14" s="70" t="s">
        <v>276</v>
      </c>
      <c r="C14" s="54">
        <v>1274.079</v>
      </c>
      <c r="D14" s="157">
        <v>22696.936280000002</v>
      </c>
      <c r="E14" s="27">
        <f t="shared" si="0"/>
        <v>21422.85728</v>
      </c>
      <c r="F14" s="29" t="s">
        <v>482</v>
      </c>
      <c r="G14" s="31"/>
      <c r="H14" s="31"/>
      <c r="I14" s="27"/>
      <c r="J14" s="29"/>
    </row>
    <row r="15" spans="1:26" s="2" customFormat="1" ht="37.5" x14ac:dyDescent="0.25">
      <c r="A15" s="172">
        <v>11011300</v>
      </c>
      <c r="B15" s="70" t="s">
        <v>286</v>
      </c>
      <c r="C15" s="54">
        <v>23.829000000000001</v>
      </c>
      <c r="D15" s="157">
        <v>4.7081</v>
      </c>
      <c r="E15" s="27">
        <f t="shared" si="0"/>
        <v>-19.120899999999999</v>
      </c>
      <c r="F15" s="29">
        <f t="shared" si="1"/>
        <v>19.757858072097022</v>
      </c>
      <c r="G15" s="31"/>
      <c r="H15" s="31"/>
      <c r="I15" s="27"/>
      <c r="J15" s="29"/>
    </row>
    <row r="16" spans="1:26" s="2" customFormat="1" x14ac:dyDescent="0.25">
      <c r="A16" s="69">
        <v>11020000</v>
      </c>
      <c r="B16" s="70" t="s">
        <v>208</v>
      </c>
      <c r="C16" s="54">
        <f>C17</f>
        <v>3299.42</v>
      </c>
      <c r="D16" s="31">
        <f>D17</f>
        <v>7139.1810400000004</v>
      </c>
      <c r="E16" s="27">
        <f t="shared" si="0"/>
        <v>3839.7610400000003</v>
      </c>
      <c r="F16" s="29" t="s">
        <v>483</v>
      </c>
      <c r="G16" s="31"/>
      <c r="H16" s="31"/>
      <c r="I16" s="27"/>
      <c r="J16" s="29"/>
    </row>
    <row r="17" spans="1:10" s="3" customFormat="1" x14ac:dyDescent="0.3">
      <c r="A17" s="69">
        <v>11020200</v>
      </c>
      <c r="B17" s="70" t="s">
        <v>339</v>
      </c>
      <c r="C17" s="54">
        <v>3299.42</v>
      </c>
      <c r="D17" s="157">
        <v>7139.1810400000004</v>
      </c>
      <c r="E17" s="27">
        <f t="shared" si="0"/>
        <v>3839.7610400000003</v>
      </c>
      <c r="F17" s="29" t="s">
        <v>483</v>
      </c>
      <c r="G17" s="31"/>
      <c r="H17" s="31"/>
      <c r="I17" s="27"/>
      <c r="J17" s="29"/>
    </row>
    <row r="18" spans="1:10" s="2" customFormat="1" x14ac:dyDescent="0.25">
      <c r="A18" s="69">
        <v>13000000</v>
      </c>
      <c r="B18" s="33" t="s">
        <v>209</v>
      </c>
      <c r="C18" s="54">
        <v>78.515000000000001</v>
      </c>
      <c r="D18" s="157">
        <v>88.751230000000007</v>
      </c>
      <c r="E18" s="27">
        <f t="shared" si="0"/>
        <v>10.236230000000006</v>
      </c>
      <c r="F18" s="29">
        <f t="shared" si="1"/>
        <v>113.03729223715216</v>
      </c>
      <c r="G18" s="31"/>
      <c r="H18" s="31"/>
      <c r="I18" s="27"/>
      <c r="J18" s="29"/>
    </row>
    <row r="19" spans="1:10" s="2" customFormat="1" x14ac:dyDescent="0.25">
      <c r="A19" s="69">
        <v>14000000</v>
      </c>
      <c r="B19" s="70" t="s">
        <v>210</v>
      </c>
      <c r="C19" s="31">
        <f>C20+C22+C24</f>
        <v>276989.353</v>
      </c>
      <c r="D19" s="31">
        <f>D20+D22+D24</f>
        <v>368289.51000999997</v>
      </c>
      <c r="E19" s="27">
        <f t="shared" si="0"/>
        <v>91300.157009999966</v>
      </c>
      <c r="F19" s="29">
        <f t="shared" si="1"/>
        <v>132.96161243064094</v>
      </c>
      <c r="G19" s="31"/>
      <c r="H19" s="31"/>
      <c r="I19" s="27"/>
      <c r="J19" s="29"/>
    </row>
    <row r="20" spans="1:10" s="2" customFormat="1" x14ac:dyDescent="0.25">
      <c r="A20" s="173" t="s">
        <v>211</v>
      </c>
      <c r="B20" s="70" t="s">
        <v>212</v>
      </c>
      <c r="C20" s="31">
        <f>C21</f>
        <v>11600.054</v>
      </c>
      <c r="D20" s="31">
        <f>D21</f>
        <v>16188.84311</v>
      </c>
      <c r="E20" s="27">
        <f t="shared" si="0"/>
        <v>4588.7891099999997</v>
      </c>
      <c r="F20" s="29">
        <f t="shared" si="1"/>
        <v>139.55834265943935</v>
      </c>
      <c r="G20" s="31"/>
      <c r="H20" s="31"/>
      <c r="I20" s="27"/>
      <c r="J20" s="29"/>
    </row>
    <row r="21" spans="1:10" s="2" customFormat="1" x14ac:dyDescent="0.25">
      <c r="A21" s="173" t="s">
        <v>213</v>
      </c>
      <c r="B21" s="70" t="s">
        <v>214</v>
      </c>
      <c r="C21" s="54">
        <v>11600.054</v>
      </c>
      <c r="D21" s="157">
        <v>16188.84311</v>
      </c>
      <c r="E21" s="27">
        <f t="shared" si="0"/>
        <v>4588.7891099999997</v>
      </c>
      <c r="F21" s="29">
        <f t="shared" si="1"/>
        <v>139.55834265943935</v>
      </c>
      <c r="G21" s="31"/>
      <c r="H21" s="31"/>
      <c r="I21" s="27"/>
      <c r="J21" s="29"/>
    </row>
    <row r="22" spans="1:10" s="2" customFormat="1" x14ac:dyDescent="0.25">
      <c r="A22" s="173" t="s">
        <v>215</v>
      </c>
      <c r="B22" s="70" t="s">
        <v>216</v>
      </c>
      <c r="C22" s="31">
        <f>C23</f>
        <v>73437.513000000006</v>
      </c>
      <c r="D22" s="31">
        <f>D23</f>
        <v>115012.6985</v>
      </c>
      <c r="E22" s="27">
        <f t="shared" si="0"/>
        <v>41575.185499999992</v>
      </c>
      <c r="F22" s="29" t="s">
        <v>396</v>
      </c>
      <c r="G22" s="31"/>
      <c r="H22" s="31"/>
      <c r="I22" s="27"/>
      <c r="J22" s="29"/>
    </row>
    <row r="23" spans="1:10" s="2" customFormat="1" x14ac:dyDescent="0.25">
      <c r="A23" s="173" t="s">
        <v>217</v>
      </c>
      <c r="B23" s="70" t="s">
        <v>214</v>
      </c>
      <c r="C23" s="54">
        <v>73437.513000000006</v>
      </c>
      <c r="D23" s="157">
        <v>115012.6985</v>
      </c>
      <c r="E23" s="27">
        <f t="shared" si="0"/>
        <v>41575.185499999992</v>
      </c>
      <c r="F23" s="29" t="s">
        <v>396</v>
      </c>
      <c r="G23" s="31"/>
      <c r="H23" s="31"/>
      <c r="I23" s="27"/>
      <c r="J23" s="29"/>
    </row>
    <row r="24" spans="1:10" s="2" customFormat="1" ht="37.5" x14ac:dyDescent="0.25">
      <c r="A24" s="69">
        <v>14040000</v>
      </c>
      <c r="B24" s="70" t="s">
        <v>218</v>
      </c>
      <c r="C24" s="54">
        <v>191951.78599999999</v>
      </c>
      <c r="D24" s="157">
        <v>237087.96840000001</v>
      </c>
      <c r="E24" s="27">
        <f t="shared" si="0"/>
        <v>45136.18240000002</v>
      </c>
      <c r="F24" s="29">
        <f t="shared" si="1"/>
        <v>123.51433312529846</v>
      </c>
      <c r="G24" s="31"/>
      <c r="H24" s="31"/>
      <c r="I24" s="27"/>
      <c r="J24" s="29"/>
    </row>
    <row r="25" spans="1:10" s="2" customFormat="1" ht="37.5" x14ac:dyDescent="0.25">
      <c r="A25" s="69">
        <v>18000000</v>
      </c>
      <c r="B25" s="70" t="s">
        <v>219</v>
      </c>
      <c r="C25" s="31">
        <f>C26+C37+C40</f>
        <v>826034.31700000004</v>
      </c>
      <c r="D25" s="31">
        <f>D26+D37+D40</f>
        <v>937021.57650000008</v>
      </c>
      <c r="E25" s="27">
        <f t="shared" si="0"/>
        <v>110987.25950000004</v>
      </c>
      <c r="F25" s="29">
        <f t="shared" si="1"/>
        <v>113.43615600657908</v>
      </c>
      <c r="G25" s="31"/>
      <c r="H25" s="31"/>
      <c r="I25" s="27"/>
      <c r="J25" s="29"/>
    </row>
    <row r="26" spans="1:10" s="2" customFormat="1" x14ac:dyDescent="0.25">
      <c r="A26" s="69">
        <v>18010000</v>
      </c>
      <c r="B26" s="70" t="s">
        <v>220</v>
      </c>
      <c r="C26" s="31">
        <f>SUM(C27:C36)</f>
        <v>309229.95900000003</v>
      </c>
      <c r="D26" s="31">
        <f>SUM(D27:D36)</f>
        <v>380340.49974</v>
      </c>
      <c r="E26" s="27">
        <f t="shared" si="0"/>
        <v>71110.540739999968</v>
      </c>
      <c r="F26" s="29">
        <f t="shared" si="1"/>
        <v>122.9960062634164</v>
      </c>
      <c r="G26" s="31"/>
      <c r="H26" s="31"/>
      <c r="I26" s="27"/>
      <c r="J26" s="29"/>
    </row>
    <row r="27" spans="1:10" s="2" customFormat="1" ht="37.5" x14ac:dyDescent="0.25">
      <c r="A27" s="69">
        <v>18010100</v>
      </c>
      <c r="B27" s="70" t="s">
        <v>221</v>
      </c>
      <c r="C27" s="31">
        <v>281.53300000000002</v>
      </c>
      <c r="D27" s="157">
        <v>297.26614999999998</v>
      </c>
      <c r="E27" s="27">
        <f t="shared" si="0"/>
        <v>15.733149999999966</v>
      </c>
      <c r="F27" s="29">
        <f t="shared" si="1"/>
        <v>105.58838573098002</v>
      </c>
      <c r="G27" s="31"/>
      <c r="H27" s="31"/>
      <c r="I27" s="27"/>
      <c r="J27" s="29"/>
    </row>
    <row r="28" spans="1:10" s="2" customFormat="1" ht="37.5" x14ac:dyDescent="0.25">
      <c r="A28" s="114">
        <v>18010200</v>
      </c>
      <c r="B28" s="70" t="s">
        <v>222</v>
      </c>
      <c r="C28" s="31">
        <v>3941.5859999999998</v>
      </c>
      <c r="D28" s="157">
        <v>5205.2401300000001</v>
      </c>
      <c r="E28" s="27">
        <f t="shared" si="0"/>
        <v>1263.6541300000004</v>
      </c>
      <c r="F28" s="29">
        <f t="shared" si="1"/>
        <v>132.05953466447264</v>
      </c>
      <c r="G28" s="31"/>
      <c r="H28" s="31"/>
      <c r="I28" s="27"/>
      <c r="J28" s="29"/>
    </row>
    <row r="29" spans="1:10" s="2" customFormat="1" ht="37.5" x14ac:dyDescent="0.25">
      <c r="A29" s="69">
        <v>18010300</v>
      </c>
      <c r="B29" s="70" t="s">
        <v>340</v>
      </c>
      <c r="C29" s="31">
        <v>9383.9120000000003</v>
      </c>
      <c r="D29" s="157">
        <v>9844.1711899999991</v>
      </c>
      <c r="E29" s="27">
        <f t="shared" si="0"/>
        <v>460.25918999999885</v>
      </c>
      <c r="F29" s="29">
        <f t="shared" si="1"/>
        <v>104.90476882136149</v>
      </c>
      <c r="G29" s="31"/>
      <c r="H29" s="31"/>
      <c r="I29" s="27"/>
      <c r="J29" s="29"/>
    </row>
    <row r="30" spans="1:10" s="2" customFormat="1" ht="37.5" x14ac:dyDescent="0.25">
      <c r="A30" s="69">
        <v>18010400</v>
      </c>
      <c r="B30" s="70" t="s">
        <v>341</v>
      </c>
      <c r="C30" s="31">
        <v>41541.815000000002</v>
      </c>
      <c r="D30" s="157">
        <v>54595.20609</v>
      </c>
      <c r="E30" s="27">
        <f t="shared" si="0"/>
        <v>13053.391089999997</v>
      </c>
      <c r="F30" s="29">
        <f t="shared" si="1"/>
        <v>131.42229363353525</v>
      </c>
      <c r="G30" s="31"/>
      <c r="H30" s="31"/>
      <c r="I30" s="27"/>
      <c r="J30" s="29"/>
    </row>
    <row r="31" spans="1:10" s="2" customFormat="1" x14ac:dyDescent="0.25">
      <c r="A31" s="69">
        <v>18010500</v>
      </c>
      <c r="B31" s="70" t="s">
        <v>342</v>
      </c>
      <c r="C31" s="31">
        <v>74157.471999999994</v>
      </c>
      <c r="D31" s="157">
        <v>94522.172430000006</v>
      </c>
      <c r="E31" s="27">
        <f t="shared" si="0"/>
        <v>20364.700430000012</v>
      </c>
      <c r="F31" s="29">
        <f t="shared" si="1"/>
        <v>127.46142752816603</v>
      </c>
      <c r="G31" s="31"/>
      <c r="H31" s="31"/>
      <c r="I31" s="27"/>
      <c r="J31" s="29"/>
    </row>
    <row r="32" spans="1:10" s="2" customFormat="1" x14ac:dyDescent="0.25">
      <c r="A32" s="69">
        <v>18010600</v>
      </c>
      <c r="B32" s="70" t="s">
        <v>223</v>
      </c>
      <c r="C32" s="31">
        <v>150831.35399999999</v>
      </c>
      <c r="D32" s="157">
        <v>176957.27658999999</v>
      </c>
      <c r="E32" s="27">
        <f t="shared" si="0"/>
        <v>26125.922590000002</v>
      </c>
      <c r="F32" s="29">
        <f t="shared" si="1"/>
        <v>117.32128095196973</v>
      </c>
      <c r="G32" s="31"/>
      <c r="H32" s="31"/>
      <c r="I32" s="27"/>
      <c r="J32" s="29"/>
    </row>
    <row r="33" spans="1:10" s="2" customFormat="1" x14ac:dyDescent="0.25">
      <c r="A33" s="69">
        <v>18010700</v>
      </c>
      <c r="B33" s="70" t="s">
        <v>224</v>
      </c>
      <c r="C33" s="31">
        <v>5907.1239999999998</v>
      </c>
      <c r="D33" s="157">
        <v>8055.60059</v>
      </c>
      <c r="E33" s="27">
        <f t="shared" si="0"/>
        <v>2148.4765900000002</v>
      </c>
      <c r="F33" s="29">
        <f t="shared" si="1"/>
        <v>136.37094108740567</v>
      </c>
      <c r="G33" s="31"/>
      <c r="H33" s="31"/>
      <c r="I33" s="27"/>
      <c r="J33" s="29"/>
    </row>
    <row r="34" spans="1:10" s="2" customFormat="1" x14ac:dyDescent="0.25">
      <c r="A34" s="69">
        <v>18010900</v>
      </c>
      <c r="B34" s="70" t="s">
        <v>225</v>
      </c>
      <c r="C34" s="31">
        <v>21559.256000000001</v>
      </c>
      <c r="D34" s="157">
        <v>29578.51323</v>
      </c>
      <c r="E34" s="27">
        <f t="shared" si="0"/>
        <v>8019.2572299999993</v>
      </c>
      <c r="F34" s="29">
        <f t="shared" si="1"/>
        <v>137.19635422483967</v>
      </c>
      <c r="G34" s="31"/>
      <c r="H34" s="31"/>
      <c r="I34" s="27"/>
      <c r="J34" s="29"/>
    </row>
    <row r="35" spans="1:10" s="2" customFormat="1" x14ac:dyDescent="0.25">
      <c r="A35" s="69">
        <v>18011000</v>
      </c>
      <c r="B35" s="70" t="s">
        <v>226</v>
      </c>
      <c r="C35" s="31">
        <v>1352.329</v>
      </c>
      <c r="D35" s="157">
        <v>888.58177999999998</v>
      </c>
      <c r="E35" s="27">
        <f t="shared" si="0"/>
        <v>-463.74721999999997</v>
      </c>
      <c r="F35" s="29">
        <f t="shared" si="1"/>
        <v>65.707514961226153</v>
      </c>
      <c r="G35" s="31"/>
      <c r="H35" s="31"/>
      <c r="I35" s="27"/>
      <c r="J35" s="29"/>
    </row>
    <row r="36" spans="1:10" s="2" customFormat="1" x14ac:dyDescent="0.25">
      <c r="A36" s="69">
        <v>18011100</v>
      </c>
      <c r="B36" s="70" t="s">
        <v>227</v>
      </c>
      <c r="C36" s="31">
        <v>273.57799999999997</v>
      </c>
      <c r="D36" s="157">
        <v>396.47156000000001</v>
      </c>
      <c r="E36" s="27">
        <f t="shared" si="0"/>
        <v>122.89356000000004</v>
      </c>
      <c r="F36" s="29">
        <f t="shared" si="1"/>
        <v>144.92084889866877</v>
      </c>
      <c r="G36" s="31"/>
      <c r="H36" s="31"/>
      <c r="I36" s="27"/>
      <c r="J36" s="29"/>
    </row>
    <row r="37" spans="1:10" s="2" customFormat="1" x14ac:dyDescent="0.25">
      <c r="A37" s="69">
        <v>18030000</v>
      </c>
      <c r="B37" s="70" t="s">
        <v>228</v>
      </c>
      <c r="C37" s="31">
        <f>C38+C39</f>
        <v>954.85299999999995</v>
      </c>
      <c r="D37" s="31">
        <f>D38+D39</f>
        <v>1151.2799199999999</v>
      </c>
      <c r="E37" s="27">
        <f t="shared" si="0"/>
        <v>196.42692</v>
      </c>
      <c r="F37" s="29">
        <f t="shared" si="1"/>
        <v>120.5714303667685</v>
      </c>
      <c r="G37" s="31"/>
      <c r="H37" s="31"/>
      <c r="I37" s="27"/>
      <c r="J37" s="29"/>
    </row>
    <row r="38" spans="1:10" s="2" customFormat="1" x14ac:dyDescent="0.25">
      <c r="A38" s="69">
        <v>18030100</v>
      </c>
      <c r="B38" s="70" t="s">
        <v>229</v>
      </c>
      <c r="C38" s="31">
        <v>291.25099999999998</v>
      </c>
      <c r="D38" s="157">
        <v>322.24838</v>
      </c>
      <c r="E38" s="27">
        <f t="shared" si="0"/>
        <v>30.997380000000021</v>
      </c>
      <c r="F38" s="29">
        <f t="shared" si="1"/>
        <v>110.64284071127655</v>
      </c>
      <c r="G38" s="31"/>
      <c r="H38" s="31"/>
      <c r="I38" s="27"/>
      <c r="J38" s="29"/>
    </row>
    <row r="39" spans="1:10" s="2" customFormat="1" x14ac:dyDescent="0.25">
      <c r="A39" s="69">
        <v>18030200</v>
      </c>
      <c r="B39" s="70" t="s">
        <v>230</v>
      </c>
      <c r="C39" s="31">
        <v>663.60199999999998</v>
      </c>
      <c r="D39" s="157">
        <v>829.03153999999995</v>
      </c>
      <c r="E39" s="27">
        <f t="shared" si="0"/>
        <v>165.42953999999997</v>
      </c>
      <c r="F39" s="29">
        <f t="shared" si="1"/>
        <v>124.92902974975964</v>
      </c>
      <c r="G39" s="31"/>
      <c r="H39" s="31"/>
      <c r="I39" s="27"/>
      <c r="J39" s="29"/>
    </row>
    <row r="40" spans="1:10" s="2" customFormat="1" x14ac:dyDescent="0.25">
      <c r="A40" s="69">
        <v>18050000</v>
      </c>
      <c r="B40" s="70" t="s">
        <v>231</v>
      </c>
      <c r="C40" s="31">
        <f>C41+C42+C43</f>
        <v>515849.505</v>
      </c>
      <c r="D40" s="31">
        <f>D41+D42+D43</f>
        <v>555529.79684000008</v>
      </c>
      <c r="E40" s="27">
        <f t="shared" si="0"/>
        <v>39680.291840000078</v>
      </c>
      <c r="F40" s="29">
        <f t="shared" si="1"/>
        <v>107.69222252912701</v>
      </c>
      <c r="G40" s="31"/>
      <c r="H40" s="31"/>
      <c r="I40" s="27"/>
      <c r="J40" s="29"/>
    </row>
    <row r="41" spans="1:10" s="2" customFormat="1" x14ac:dyDescent="0.25">
      <c r="A41" s="69">
        <v>18050300</v>
      </c>
      <c r="B41" s="70" t="s">
        <v>232</v>
      </c>
      <c r="C41" s="31">
        <v>77891.767999999996</v>
      </c>
      <c r="D41" s="157">
        <v>77181.536519999994</v>
      </c>
      <c r="E41" s="27">
        <f t="shared" si="0"/>
        <v>-710.23148000000219</v>
      </c>
      <c r="F41" s="29">
        <f t="shared" si="1"/>
        <v>99.088181590639977</v>
      </c>
      <c r="G41" s="31"/>
      <c r="H41" s="31"/>
      <c r="I41" s="27"/>
      <c r="J41" s="29"/>
    </row>
    <row r="42" spans="1:10" s="2" customFormat="1" x14ac:dyDescent="0.25">
      <c r="A42" s="69">
        <v>18050400</v>
      </c>
      <c r="B42" s="70" t="s">
        <v>233</v>
      </c>
      <c r="C42" s="31">
        <v>437952.44400000002</v>
      </c>
      <c r="D42" s="157">
        <v>478324.91820000001</v>
      </c>
      <c r="E42" s="27">
        <f t="shared" si="0"/>
        <v>40372.474199999997</v>
      </c>
      <c r="F42" s="29">
        <f t="shared" si="1"/>
        <v>109.21846076054777</v>
      </c>
      <c r="G42" s="31"/>
      <c r="H42" s="31"/>
      <c r="I42" s="27"/>
      <c r="J42" s="29"/>
    </row>
    <row r="43" spans="1:10" s="2" customFormat="1" ht="56.25" x14ac:dyDescent="0.25">
      <c r="A43" s="69">
        <v>18050500</v>
      </c>
      <c r="B43" s="70" t="s">
        <v>234</v>
      </c>
      <c r="C43" s="31">
        <v>5.2930000000000001</v>
      </c>
      <c r="D43" s="157">
        <v>23.342120000000001</v>
      </c>
      <c r="E43" s="27">
        <f t="shared" si="0"/>
        <v>18.049120000000002</v>
      </c>
      <c r="F43" s="29" t="s">
        <v>484</v>
      </c>
      <c r="G43" s="31"/>
      <c r="H43" s="31"/>
      <c r="I43" s="27"/>
      <c r="J43" s="29"/>
    </row>
    <row r="44" spans="1:10" s="2" customFormat="1" x14ac:dyDescent="0.25">
      <c r="A44" s="69">
        <v>19010000</v>
      </c>
      <c r="B44" s="70" t="s">
        <v>235</v>
      </c>
      <c r="C44" s="31"/>
      <c r="D44" s="31"/>
      <c r="E44" s="27"/>
      <c r="F44" s="29"/>
      <c r="G44" s="31">
        <v>639.21</v>
      </c>
      <c r="H44" s="157">
        <v>828.7278</v>
      </c>
      <c r="I44" s="27">
        <f t="shared" ref="I44:I67" si="2">SUM(H44-G44)</f>
        <v>189.51779999999997</v>
      </c>
      <c r="J44" s="29">
        <f t="shared" ref="J44" si="3">H44/G44*100</f>
        <v>129.64875393063312</v>
      </c>
    </row>
    <row r="45" spans="1:10" s="2" customFormat="1" x14ac:dyDescent="0.25">
      <c r="A45" s="69">
        <v>19090500</v>
      </c>
      <c r="B45" s="70" t="s">
        <v>297</v>
      </c>
      <c r="C45" s="54">
        <v>-0.502</v>
      </c>
      <c r="D45" s="31"/>
      <c r="E45" s="27">
        <f t="shared" si="0"/>
        <v>0.502</v>
      </c>
      <c r="F45" s="29"/>
      <c r="G45" s="31"/>
      <c r="H45" s="31"/>
      <c r="I45" s="27"/>
      <c r="J45" s="29"/>
    </row>
    <row r="46" spans="1:10" s="9" customFormat="1" x14ac:dyDescent="0.25">
      <c r="A46" s="171">
        <v>20000000</v>
      </c>
      <c r="B46" s="139" t="s">
        <v>236</v>
      </c>
      <c r="C46" s="51">
        <f>C47+C54+C66</f>
        <v>63670.921000000002</v>
      </c>
      <c r="D46" s="51">
        <f>D47+D54+D66</f>
        <v>57757.184900000007</v>
      </c>
      <c r="E46" s="45">
        <f t="shared" si="0"/>
        <v>-5913.7360999999946</v>
      </c>
      <c r="F46" s="154">
        <f t="shared" si="1"/>
        <v>90.71202990765596</v>
      </c>
      <c r="G46" s="45">
        <f>G66+G75</f>
        <v>171931.829</v>
      </c>
      <c r="H46" s="45">
        <f>H66+H75</f>
        <v>487479.68212000001</v>
      </c>
      <c r="I46" s="45">
        <f t="shared" si="2"/>
        <v>315547.85311999999</v>
      </c>
      <c r="J46" s="154" t="s">
        <v>338</v>
      </c>
    </row>
    <row r="47" spans="1:10" s="2" customFormat="1" x14ac:dyDescent="0.25">
      <c r="A47" s="69">
        <v>21000000</v>
      </c>
      <c r="B47" s="70" t="s">
        <v>237</v>
      </c>
      <c r="C47" s="31">
        <f>C48</f>
        <v>8511.8070000000007</v>
      </c>
      <c r="D47" s="31">
        <f>D48</f>
        <v>17354.430359999998</v>
      </c>
      <c r="E47" s="27">
        <f t="shared" si="0"/>
        <v>8842.6233599999978</v>
      </c>
      <c r="F47" s="29" t="s">
        <v>328</v>
      </c>
      <c r="G47" s="31"/>
      <c r="H47" s="31"/>
      <c r="I47" s="27"/>
      <c r="J47" s="154"/>
    </row>
    <row r="48" spans="1:10" s="2" customFormat="1" x14ac:dyDescent="0.25">
      <c r="A48" s="69">
        <v>21080000</v>
      </c>
      <c r="B48" s="70" t="s">
        <v>238</v>
      </c>
      <c r="C48" s="31">
        <v>8511.8070000000007</v>
      </c>
      <c r="D48" s="31">
        <v>17354.430359999998</v>
      </c>
      <c r="E48" s="27">
        <f t="shared" si="0"/>
        <v>8842.6233599999978</v>
      </c>
      <c r="F48" s="29" t="s">
        <v>328</v>
      </c>
      <c r="G48" s="31"/>
      <c r="H48" s="31"/>
      <c r="I48" s="27"/>
      <c r="J48" s="154"/>
    </row>
    <row r="49" spans="1:10" s="2" customFormat="1" x14ac:dyDescent="0.25">
      <c r="A49" s="69">
        <v>21081100</v>
      </c>
      <c r="B49" s="70" t="s">
        <v>239</v>
      </c>
      <c r="C49" s="54">
        <v>4405.3370000000004</v>
      </c>
      <c r="D49" s="157">
        <v>11876.492399999999</v>
      </c>
      <c r="E49" s="27">
        <f t="shared" si="0"/>
        <v>7471.1553999999987</v>
      </c>
      <c r="F49" s="29" t="s">
        <v>485</v>
      </c>
      <c r="G49" s="31"/>
      <c r="H49" s="31"/>
      <c r="I49" s="27"/>
      <c r="J49" s="154"/>
    </row>
    <row r="50" spans="1:10" s="2" customFormat="1" ht="75" x14ac:dyDescent="0.25">
      <c r="A50" s="69">
        <v>21081500</v>
      </c>
      <c r="B50" s="33" t="s">
        <v>343</v>
      </c>
      <c r="C50" s="54">
        <v>1879.8420000000001</v>
      </c>
      <c r="D50" s="157">
        <v>2665.22696</v>
      </c>
      <c r="E50" s="27">
        <f t="shared" si="0"/>
        <v>785.38495999999986</v>
      </c>
      <c r="F50" s="29">
        <f>D50/C50*100</f>
        <v>141.77930698431038</v>
      </c>
      <c r="G50" s="31"/>
      <c r="H50" s="31"/>
      <c r="I50" s="27"/>
      <c r="J50" s="154"/>
    </row>
    <row r="51" spans="1:10" s="2" customFormat="1" ht="37.5" x14ac:dyDescent="0.25">
      <c r="A51" s="69">
        <v>21081700</v>
      </c>
      <c r="B51" s="33" t="s">
        <v>305</v>
      </c>
      <c r="C51" s="54">
        <v>721.43899999999996</v>
      </c>
      <c r="D51" s="157">
        <v>1269.35016</v>
      </c>
      <c r="E51" s="27">
        <f t="shared" si="0"/>
        <v>547.91116</v>
      </c>
      <c r="F51" s="29" t="s">
        <v>480</v>
      </c>
      <c r="G51" s="31"/>
      <c r="H51" s="31"/>
      <c r="I51" s="27"/>
      <c r="J51" s="154"/>
    </row>
    <row r="52" spans="1:10" s="10" customFormat="1" ht="37.5" x14ac:dyDescent="0.25">
      <c r="A52" s="174">
        <v>21081800</v>
      </c>
      <c r="B52" s="175" t="s">
        <v>274</v>
      </c>
      <c r="C52" s="158">
        <v>1361.08</v>
      </c>
      <c r="D52" s="157">
        <v>1514.94472</v>
      </c>
      <c r="E52" s="159">
        <f t="shared" si="0"/>
        <v>153.86472000000003</v>
      </c>
      <c r="F52" s="29">
        <f t="shared" si="1"/>
        <v>111.30460516648543</v>
      </c>
      <c r="G52" s="160"/>
      <c r="H52" s="160"/>
      <c r="I52" s="159"/>
      <c r="J52" s="154"/>
    </row>
    <row r="53" spans="1:10" s="2" customFormat="1" ht="56.25" x14ac:dyDescent="0.25">
      <c r="A53" s="69">
        <v>21082400</v>
      </c>
      <c r="B53" s="67" t="s">
        <v>263</v>
      </c>
      <c r="C53" s="54">
        <v>143.78899999999999</v>
      </c>
      <c r="D53" s="157">
        <v>30.191120000000002</v>
      </c>
      <c r="E53" s="27">
        <f t="shared" si="0"/>
        <v>-113.59787999999999</v>
      </c>
      <c r="F53" s="29">
        <f t="shared" si="1"/>
        <v>20.996821731843191</v>
      </c>
      <c r="G53" s="31"/>
      <c r="H53" s="31"/>
      <c r="I53" s="27"/>
      <c r="J53" s="154"/>
    </row>
    <row r="54" spans="1:10" s="2" customFormat="1" x14ac:dyDescent="0.25">
      <c r="A54" s="69">
        <v>22000000</v>
      </c>
      <c r="B54" s="70" t="s">
        <v>240</v>
      </c>
      <c r="C54" s="31">
        <f>C55+C60+C61+C62</f>
        <v>33877.273000000001</v>
      </c>
      <c r="D54" s="31">
        <f>D55+D61+D60+D62</f>
        <v>28560.857990000004</v>
      </c>
      <c r="E54" s="27">
        <f t="shared" si="0"/>
        <v>-5316.415009999997</v>
      </c>
      <c r="F54" s="29">
        <f t="shared" si="1"/>
        <v>84.306838953654875</v>
      </c>
      <c r="G54" s="31"/>
      <c r="H54" s="31"/>
      <c r="I54" s="27"/>
      <c r="J54" s="154"/>
    </row>
    <row r="55" spans="1:10" s="2" customFormat="1" x14ac:dyDescent="0.25">
      <c r="A55" s="69">
        <v>22010000</v>
      </c>
      <c r="B55" s="70" t="s">
        <v>241</v>
      </c>
      <c r="C55" s="31">
        <f>C59+C58+C57+C56</f>
        <v>23504.699000000001</v>
      </c>
      <c r="D55" s="31">
        <f>D59+D58+D57+D56</f>
        <v>20369.749800000001</v>
      </c>
      <c r="E55" s="27">
        <f t="shared" si="0"/>
        <v>-3134.9491999999991</v>
      </c>
      <c r="F55" s="29">
        <f t="shared" si="1"/>
        <v>86.662457579227038</v>
      </c>
      <c r="G55" s="31"/>
      <c r="H55" s="31"/>
      <c r="I55" s="27"/>
      <c r="J55" s="154"/>
    </row>
    <row r="56" spans="1:10" s="2" customFormat="1" ht="37.5" x14ac:dyDescent="0.25">
      <c r="A56" s="69">
        <v>22010300</v>
      </c>
      <c r="B56" s="33" t="s">
        <v>344</v>
      </c>
      <c r="C56" s="31">
        <v>248.40899999999999</v>
      </c>
      <c r="D56" s="157">
        <v>298.25299999999999</v>
      </c>
      <c r="E56" s="27">
        <f t="shared" si="0"/>
        <v>49.843999999999994</v>
      </c>
      <c r="F56" s="29">
        <f t="shared" si="1"/>
        <v>120.06529554082179</v>
      </c>
      <c r="G56" s="31"/>
      <c r="H56" s="31"/>
      <c r="I56" s="27"/>
      <c r="J56" s="154"/>
    </row>
    <row r="57" spans="1:10" s="2" customFormat="1" x14ac:dyDescent="0.25">
      <c r="A57" s="69">
        <v>22012500</v>
      </c>
      <c r="B57" s="70" t="s">
        <v>242</v>
      </c>
      <c r="C57" s="31">
        <v>22828.288</v>
      </c>
      <c r="D57" s="157">
        <v>19401.014709999999</v>
      </c>
      <c r="E57" s="27">
        <f t="shared" si="0"/>
        <v>-3427.273290000001</v>
      </c>
      <c r="F57" s="29">
        <f t="shared" si="1"/>
        <v>84.98672659990973</v>
      </c>
      <c r="G57" s="31"/>
      <c r="H57" s="31"/>
      <c r="I57" s="27"/>
      <c r="J57" s="154"/>
    </row>
    <row r="58" spans="1:10" s="2" customFormat="1" x14ac:dyDescent="0.25">
      <c r="A58" s="69">
        <v>22012600</v>
      </c>
      <c r="B58" s="33" t="s">
        <v>243</v>
      </c>
      <c r="C58" s="31">
        <v>424.65199999999999</v>
      </c>
      <c r="D58" s="157">
        <v>668.54809</v>
      </c>
      <c r="E58" s="27">
        <f t="shared" si="0"/>
        <v>243.89609000000002</v>
      </c>
      <c r="F58" s="29" t="s">
        <v>396</v>
      </c>
      <c r="G58" s="31"/>
      <c r="H58" s="31"/>
      <c r="I58" s="27"/>
      <c r="J58" s="154"/>
    </row>
    <row r="59" spans="1:10" s="2" customFormat="1" ht="75" x14ac:dyDescent="0.25">
      <c r="A59" s="69">
        <v>22012900</v>
      </c>
      <c r="B59" s="33" t="s">
        <v>345</v>
      </c>
      <c r="C59" s="31">
        <v>3.35</v>
      </c>
      <c r="D59" s="157">
        <v>1.9339999999999999</v>
      </c>
      <c r="E59" s="27">
        <f t="shared" si="0"/>
        <v>-1.4160000000000001</v>
      </c>
      <c r="F59" s="29">
        <f t="shared" si="1"/>
        <v>57.731343283582085</v>
      </c>
      <c r="G59" s="31"/>
      <c r="H59" s="31"/>
      <c r="I59" s="27"/>
      <c r="J59" s="154"/>
    </row>
    <row r="60" spans="1:10" s="2" customFormat="1" ht="37.5" x14ac:dyDescent="0.25">
      <c r="A60" s="69">
        <v>22020400</v>
      </c>
      <c r="B60" s="33" t="s">
        <v>298</v>
      </c>
      <c r="C60" s="31">
        <v>4540.7139999999999</v>
      </c>
      <c r="D60" s="157">
        <v>1005</v>
      </c>
      <c r="E60" s="27">
        <f t="shared" si="0"/>
        <v>-3535.7139999999999</v>
      </c>
      <c r="F60" s="29">
        <f t="shared" si="1"/>
        <v>22.133083034958819</v>
      </c>
      <c r="G60" s="31"/>
      <c r="H60" s="31"/>
      <c r="I60" s="27"/>
      <c r="J60" s="154"/>
    </row>
    <row r="61" spans="1:10" s="2" customFormat="1" ht="37.5" x14ac:dyDescent="0.25">
      <c r="A61" s="69">
        <v>22080400</v>
      </c>
      <c r="B61" s="70" t="s">
        <v>289</v>
      </c>
      <c r="C61" s="31">
        <v>5370.5209999999997</v>
      </c>
      <c r="D61" s="157">
        <v>7009.8961200000003</v>
      </c>
      <c r="E61" s="27">
        <f t="shared" si="0"/>
        <v>1639.3751200000006</v>
      </c>
      <c r="F61" s="29">
        <f t="shared" si="1"/>
        <v>130.52543915199291</v>
      </c>
      <c r="G61" s="31"/>
      <c r="H61" s="31"/>
      <c r="I61" s="27"/>
      <c r="J61" s="154"/>
    </row>
    <row r="62" spans="1:10" s="2" customFormat="1" x14ac:dyDescent="0.25">
      <c r="A62" s="69">
        <v>22090000</v>
      </c>
      <c r="B62" s="70" t="s">
        <v>244</v>
      </c>
      <c r="C62" s="31">
        <f>C63+C64+C65</f>
        <v>461.33899999999994</v>
      </c>
      <c r="D62" s="31">
        <f>D63+D64+D65</f>
        <v>176.21206999999998</v>
      </c>
      <c r="E62" s="27">
        <f t="shared" si="0"/>
        <v>-285.12692999999996</v>
      </c>
      <c r="F62" s="29">
        <f t="shared" si="1"/>
        <v>38.195788780051117</v>
      </c>
      <c r="G62" s="31"/>
      <c r="H62" s="31"/>
      <c r="I62" s="27"/>
      <c r="J62" s="154"/>
    </row>
    <row r="63" spans="1:10" s="2" customFormat="1" ht="37.5" x14ac:dyDescent="0.25">
      <c r="A63" s="69">
        <v>22090100</v>
      </c>
      <c r="B63" s="70" t="s">
        <v>245</v>
      </c>
      <c r="C63" s="31">
        <v>295.55599999999998</v>
      </c>
      <c r="D63" s="157">
        <v>151.02852999999999</v>
      </c>
      <c r="E63" s="27">
        <f t="shared" si="0"/>
        <v>-144.52746999999999</v>
      </c>
      <c r="F63" s="29">
        <f t="shared" si="1"/>
        <v>51.099801729621461</v>
      </c>
      <c r="G63" s="31"/>
      <c r="H63" s="31"/>
      <c r="I63" s="27"/>
      <c r="J63" s="154"/>
    </row>
    <row r="64" spans="1:10" s="2" customFormat="1" x14ac:dyDescent="0.25">
      <c r="A64" s="69">
        <v>22090200</v>
      </c>
      <c r="B64" s="70" t="s">
        <v>299</v>
      </c>
      <c r="C64" s="31">
        <v>3.0000000000000001E-3</v>
      </c>
      <c r="D64" s="31"/>
      <c r="E64" s="27">
        <f t="shared" si="0"/>
        <v>-3.0000000000000001E-3</v>
      </c>
      <c r="F64" s="29"/>
      <c r="G64" s="31"/>
      <c r="H64" s="31"/>
      <c r="I64" s="27"/>
      <c r="J64" s="154"/>
    </row>
    <row r="65" spans="1:10" s="2" customFormat="1" ht="37.5" x14ac:dyDescent="0.25">
      <c r="A65" s="69">
        <v>22090400</v>
      </c>
      <c r="B65" s="70" t="s">
        <v>246</v>
      </c>
      <c r="C65" s="31">
        <v>165.78</v>
      </c>
      <c r="D65" s="157">
        <v>25.183540000000001</v>
      </c>
      <c r="E65" s="27">
        <f t="shared" si="0"/>
        <v>-140.59646000000001</v>
      </c>
      <c r="F65" s="29">
        <f t="shared" si="1"/>
        <v>15.190939799734588</v>
      </c>
      <c r="G65" s="31"/>
      <c r="H65" s="31"/>
      <c r="I65" s="27"/>
      <c r="J65" s="154"/>
    </row>
    <row r="66" spans="1:10" s="2" customFormat="1" x14ac:dyDescent="0.25">
      <c r="A66" s="69">
        <v>24000000</v>
      </c>
      <c r="B66" s="70" t="s">
        <v>247</v>
      </c>
      <c r="C66" s="31">
        <f>C67+C73</f>
        <v>21281.841</v>
      </c>
      <c r="D66" s="31">
        <f>D67+D73</f>
        <v>11841.896550000001</v>
      </c>
      <c r="E66" s="27">
        <f t="shared" si="0"/>
        <v>-9439.9444499999991</v>
      </c>
      <c r="F66" s="29">
        <f t="shared" si="1"/>
        <v>55.643196234761838</v>
      </c>
      <c r="G66" s="31">
        <f>G67+G73+G74</f>
        <v>3852.549</v>
      </c>
      <c r="H66" s="31">
        <f>H67+H73+H74</f>
        <v>11533.20515</v>
      </c>
      <c r="I66" s="27">
        <f t="shared" si="2"/>
        <v>7680.6561499999998</v>
      </c>
      <c r="J66" s="29" t="s">
        <v>481</v>
      </c>
    </row>
    <row r="67" spans="1:10" s="2" customFormat="1" x14ac:dyDescent="0.25">
      <c r="A67" s="69">
        <v>24060000</v>
      </c>
      <c r="B67" s="70" t="s">
        <v>238</v>
      </c>
      <c r="C67" s="31">
        <f>C68+C71+C69</f>
        <v>21281.841</v>
      </c>
      <c r="D67" s="31">
        <f>D68+D71+D69</f>
        <v>11841.896550000001</v>
      </c>
      <c r="E67" s="27">
        <f t="shared" si="0"/>
        <v>-9439.9444499999991</v>
      </c>
      <c r="F67" s="29">
        <f t="shared" si="1"/>
        <v>55.643196234761838</v>
      </c>
      <c r="G67" s="31">
        <f>G70</f>
        <v>358.63099999999997</v>
      </c>
      <c r="H67" s="31">
        <f>H70</f>
        <v>1196.1542199999999</v>
      </c>
      <c r="I67" s="27">
        <f t="shared" si="2"/>
        <v>837.52321999999992</v>
      </c>
      <c r="J67" s="29" t="s">
        <v>397</v>
      </c>
    </row>
    <row r="68" spans="1:10" s="2" customFormat="1" x14ac:dyDescent="0.25">
      <c r="A68" s="69">
        <v>24060300</v>
      </c>
      <c r="B68" s="70" t="s">
        <v>238</v>
      </c>
      <c r="C68" s="54">
        <v>6016.0460000000003</v>
      </c>
      <c r="D68" s="157">
        <v>5905.4476100000002</v>
      </c>
      <c r="E68" s="27">
        <f t="shared" si="0"/>
        <v>-110.59839000000011</v>
      </c>
      <c r="F68" s="29">
        <f t="shared" si="1"/>
        <v>98.161609967742933</v>
      </c>
      <c r="G68" s="31"/>
      <c r="H68" s="31"/>
      <c r="I68" s="27"/>
      <c r="J68" s="154"/>
    </row>
    <row r="69" spans="1:10" s="2" customFormat="1" ht="56.25" x14ac:dyDescent="0.25">
      <c r="A69" s="69">
        <v>24061900</v>
      </c>
      <c r="B69" s="70" t="s">
        <v>265</v>
      </c>
      <c r="C69" s="54">
        <v>3213.24</v>
      </c>
      <c r="D69" s="157">
        <v>117</v>
      </c>
      <c r="E69" s="27">
        <f t="shared" ref="E69:E111" si="4">D69-C69</f>
        <v>-3096.24</v>
      </c>
      <c r="F69" s="29">
        <f t="shared" ref="F69:F111" si="5">D69/C69*100</f>
        <v>3.6411845987227847</v>
      </c>
      <c r="G69" s="31"/>
      <c r="H69" s="31"/>
      <c r="I69" s="27"/>
      <c r="J69" s="154"/>
    </row>
    <row r="70" spans="1:10" s="2" customFormat="1" ht="37.5" x14ac:dyDescent="0.25">
      <c r="A70" s="69">
        <v>24062100</v>
      </c>
      <c r="B70" s="70" t="s">
        <v>248</v>
      </c>
      <c r="C70" s="54"/>
      <c r="D70" s="31"/>
      <c r="E70" s="27"/>
      <c r="F70" s="29"/>
      <c r="G70" s="31">
        <v>358.63099999999997</v>
      </c>
      <c r="H70" s="157">
        <v>1196.1542199999999</v>
      </c>
      <c r="I70" s="27">
        <f t="shared" ref="I70:I111" si="6">SUM(H70-G70)</f>
        <v>837.52321999999992</v>
      </c>
      <c r="J70" s="29" t="s">
        <v>397</v>
      </c>
    </row>
    <row r="71" spans="1:10" s="2" customFormat="1" ht="112.5" x14ac:dyDescent="0.25">
      <c r="A71" s="69">
        <v>24062200</v>
      </c>
      <c r="B71" s="33" t="s">
        <v>249</v>
      </c>
      <c r="C71" s="54">
        <v>12052.555</v>
      </c>
      <c r="D71" s="157">
        <v>5819.4489400000002</v>
      </c>
      <c r="E71" s="27">
        <f t="shared" si="4"/>
        <v>-6233.1060600000001</v>
      </c>
      <c r="F71" s="29">
        <f t="shared" si="5"/>
        <v>48.283944275715811</v>
      </c>
      <c r="G71" s="31"/>
      <c r="H71" s="31"/>
      <c r="I71" s="27"/>
      <c r="J71" s="154"/>
    </row>
    <row r="72" spans="1:10" s="2" customFormat="1" ht="37.5" x14ac:dyDescent="0.25">
      <c r="A72" s="69">
        <v>24110700</v>
      </c>
      <c r="B72" s="33" t="s">
        <v>317</v>
      </c>
      <c r="C72" s="54"/>
      <c r="D72" s="170"/>
      <c r="E72" s="27"/>
      <c r="F72" s="29"/>
      <c r="G72" s="31"/>
      <c r="H72" s="169"/>
      <c r="I72" s="27"/>
      <c r="J72" s="154"/>
    </row>
    <row r="73" spans="1:10" s="2" customFormat="1" ht="56.25" x14ac:dyDescent="0.25">
      <c r="A73" s="69">
        <v>24110900</v>
      </c>
      <c r="B73" s="70" t="s">
        <v>250</v>
      </c>
      <c r="C73" s="31"/>
      <c r="D73" s="31"/>
      <c r="E73" s="27"/>
      <c r="F73" s="29"/>
      <c r="G73" s="31">
        <v>175.25299999999999</v>
      </c>
      <c r="H73" s="157">
        <v>131.37323000000001</v>
      </c>
      <c r="I73" s="27">
        <f t="shared" si="6"/>
        <v>-43.879769999999979</v>
      </c>
      <c r="J73" s="29">
        <f t="shared" ref="J73:J88" si="7">H73/G73*100</f>
        <v>74.962043445761282</v>
      </c>
    </row>
    <row r="74" spans="1:10" s="2" customFormat="1" x14ac:dyDescent="0.25">
      <c r="A74" s="69">
        <v>24170000</v>
      </c>
      <c r="B74" s="176" t="s">
        <v>280</v>
      </c>
      <c r="C74" s="157"/>
      <c r="D74" s="31"/>
      <c r="E74" s="27"/>
      <c r="F74" s="29"/>
      <c r="G74" s="31">
        <v>3318.665</v>
      </c>
      <c r="H74" s="157">
        <v>10205.6777</v>
      </c>
      <c r="I74" s="27">
        <f t="shared" si="6"/>
        <v>6887.0127000000002</v>
      </c>
      <c r="J74" s="29" t="s">
        <v>473</v>
      </c>
    </row>
    <row r="75" spans="1:10" s="2" customFormat="1" x14ac:dyDescent="0.25">
      <c r="A75" s="69">
        <v>25000000</v>
      </c>
      <c r="B75" s="70" t="s">
        <v>251</v>
      </c>
      <c r="C75" s="31"/>
      <c r="D75" s="31"/>
      <c r="E75" s="27"/>
      <c r="F75" s="29"/>
      <c r="G75" s="31">
        <v>168079.28</v>
      </c>
      <c r="H75" s="157">
        <v>475946.47697000002</v>
      </c>
      <c r="I75" s="27">
        <f t="shared" si="6"/>
        <v>307867.19697000005</v>
      </c>
      <c r="J75" s="29" t="s">
        <v>338</v>
      </c>
    </row>
    <row r="76" spans="1:10" s="9" customFormat="1" x14ac:dyDescent="0.25">
      <c r="A76" s="171">
        <v>30000000</v>
      </c>
      <c r="B76" s="139" t="s">
        <v>300</v>
      </c>
      <c r="C76" s="51">
        <f>C78</f>
        <v>0.10199999999999999</v>
      </c>
      <c r="D76" s="51">
        <f>D77</f>
        <v>7.52712</v>
      </c>
      <c r="E76" s="45">
        <f t="shared" si="4"/>
        <v>7.4251199999999997</v>
      </c>
      <c r="F76" s="154" t="s">
        <v>486</v>
      </c>
      <c r="G76" s="51">
        <f>G80</f>
        <v>193.74700000000001</v>
      </c>
      <c r="H76" s="51">
        <f>H79+H80</f>
        <v>52234.473890000001</v>
      </c>
      <c r="I76" s="45">
        <f t="shared" si="6"/>
        <v>52040.726889999998</v>
      </c>
      <c r="J76" s="29" t="s">
        <v>487</v>
      </c>
    </row>
    <row r="77" spans="1:10" s="9" customFormat="1" ht="56.25" x14ac:dyDescent="0.25">
      <c r="A77" s="69">
        <v>31010200</v>
      </c>
      <c r="B77" s="70" t="s">
        <v>306</v>
      </c>
      <c r="C77" s="31"/>
      <c r="D77" s="157">
        <v>7.52712</v>
      </c>
      <c r="E77" s="27">
        <f t="shared" si="4"/>
        <v>7.52712</v>
      </c>
      <c r="F77" s="29"/>
      <c r="G77" s="51"/>
      <c r="H77" s="51"/>
      <c r="I77" s="45"/>
      <c r="J77" s="154"/>
    </row>
    <row r="78" spans="1:10" s="9" customFormat="1" x14ac:dyDescent="0.25">
      <c r="A78" s="69">
        <v>31020000</v>
      </c>
      <c r="B78" s="70" t="s">
        <v>301</v>
      </c>
      <c r="C78" s="54">
        <v>0.10199999999999999</v>
      </c>
      <c r="D78" s="31"/>
      <c r="E78" s="27">
        <f t="shared" si="4"/>
        <v>-0.10199999999999999</v>
      </c>
      <c r="F78" s="29"/>
      <c r="G78" s="51"/>
      <c r="H78" s="51"/>
      <c r="I78" s="45"/>
      <c r="J78" s="154"/>
    </row>
    <row r="79" spans="1:10" s="9" customFormat="1" ht="37.5" x14ac:dyDescent="0.25">
      <c r="A79" s="69">
        <v>31030000</v>
      </c>
      <c r="B79" s="70" t="s">
        <v>488</v>
      </c>
      <c r="C79" s="54"/>
      <c r="D79" s="31"/>
      <c r="E79" s="27"/>
      <c r="F79" s="29"/>
      <c r="G79" s="51"/>
      <c r="H79" s="157">
        <v>52170.19889</v>
      </c>
      <c r="I79" s="45">
        <f t="shared" si="6"/>
        <v>52170.19889</v>
      </c>
      <c r="J79" s="154"/>
    </row>
    <row r="80" spans="1:10" s="9" customFormat="1" ht="56.25" x14ac:dyDescent="0.25">
      <c r="A80" s="69">
        <v>33010100</v>
      </c>
      <c r="B80" s="70" t="s">
        <v>307</v>
      </c>
      <c r="C80" s="161"/>
      <c r="D80" s="161"/>
      <c r="E80" s="161"/>
      <c r="F80" s="162"/>
      <c r="G80" s="54">
        <v>193.74700000000001</v>
      </c>
      <c r="H80" s="31">
        <v>64.275000000000006</v>
      </c>
      <c r="I80" s="27">
        <f t="shared" si="6"/>
        <v>-129.47200000000001</v>
      </c>
      <c r="J80" s="29">
        <f t="shared" si="7"/>
        <v>33.174707221273103</v>
      </c>
    </row>
    <row r="81" spans="1:10" s="9" customFormat="1" x14ac:dyDescent="0.25">
      <c r="A81" s="177" t="s">
        <v>302</v>
      </c>
      <c r="B81" s="178" t="s">
        <v>303</v>
      </c>
      <c r="C81" s="163"/>
      <c r="D81" s="51"/>
      <c r="E81" s="45"/>
      <c r="F81" s="154"/>
      <c r="G81" s="51"/>
      <c r="H81" s="51"/>
      <c r="I81" s="45"/>
      <c r="J81" s="154"/>
    </row>
    <row r="82" spans="1:10" s="2" customFormat="1" ht="37.5" x14ac:dyDescent="0.25">
      <c r="A82" s="69">
        <v>50110000</v>
      </c>
      <c r="B82" s="70" t="s">
        <v>308</v>
      </c>
      <c r="C82" s="164"/>
      <c r="D82" s="164"/>
      <c r="E82" s="164"/>
      <c r="F82" s="29"/>
      <c r="G82" s="31"/>
      <c r="H82" s="31"/>
      <c r="I82" s="27"/>
      <c r="J82" s="29"/>
    </row>
    <row r="83" spans="1:10" s="9" customFormat="1" x14ac:dyDescent="0.25">
      <c r="A83" s="171"/>
      <c r="B83" s="139" t="s">
        <v>252</v>
      </c>
      <c r="C83" s="51">
        <f>C8+C46+C77+D75+C78</f>
        <v>2811208.98</v>
      </c>
      <c r="D83" s="51">
        <f>D8+D46+D76</f>
        <v>3418807.9597300002</v>
      </c>
      <c r="E83" s="45">
        <f t="shared" si="4"/>
        <v>607598.97973000025</v>
      </c>
      <c r="F83" s="154">
        <f t="shared" si="5"/>
        <v>121.61344048246461</v>
      </c>
      <c r="G83" s="51">
        <f>G8+G46+G76+G81</f>
        <v>172764.78599999999</v>
      </c>
      <c r="H83" s="51">
        <f>H8+H46+H76+H81</f>
        <v>540542.88381000003</v>
      </c>
      <c r="I83" s="45">
        <f t="shared" si="6"/>
        <v>367778.09781000006</v>
      </c>
      <c r="J83" s="154" t="s">
        <v>473</v>
      </c>
    </row>
    <row r="84" spans="1:10" s="2" customFormat="1" x14ac:dyDescent="0.25">
      <c r="A84" s="171">
        <v>40000000</v>
      </c>
      <c r="B84" s="139" t="s">
        <v>253</v>
      </c>
      <c r="C84" s="51">
        <f>C85+C86+C87+C97+C99</f>
        <v>1388595.9400000002</v>
      </c>
      <c r="D84" s="51">
        <f>D85+D86+D87+D97+D99</f>
        <v>1298196.6681600001</v>
      </c>
      <c r="E84" s="45">
        <f t="shared" si="4"/>
        <v>-90399.271840000059</v>
      </c>
      <c r="F84" s="154">
        <f t="shared" si="5"/>
        <v>93.489879292027894</v>
      </c>
      <c r="G84" s="51">
        <f>G85+G87+G97+G99</f>
        <v>210607.856</v>
      </c>
      <c r="H84" s="51">
        <f>H85+H87+H97+H99</f>
        <v>57324.77117</v>
      </c>
      <c r="I84" s="45">
        <f t="shared" si="6"/>
        <v>-153283.08483000001</v>
      </c>
      <c r="J84" s="154">
        <f t="shared" si="7"/>
        <v>27.218724058422588</v>
      </c>
    </row>
    <row r="85" spans="1:10" s="2" customFormat="1" ht="56.25" x14ac:dyDescent="0.25">
      <c r="A85" s="172">
        <v>41021000</v>
      </c>
      <c r="B85" s="33" t="s">
        <v>346</v>
      </c>
      <c r="C85" s="54">
        <v>3404.7</v>
      </c>
      <c r="D85" s="157">
        <v>3578.4</v>
      </c>
      <c r="E85" s="27">
        <f t="shared" si="4"/>
        <v>173.70000000000027</v>
      </c>
      <c r="F85" s="29">
        <f t="shared" si="5"/>
        <v>105.10177108115253</v>
      </c>
      <c r="G85" s="31"/>
      <c r="H85" s="31"/>
      <c r="I85" s="45"/>
      <c r="J85" s="154"/>
    </row>
    <row r="86" spans="1:10" s="2" customFormat="1" ht="75" x14ac:dyDescent="0.25">
      <c r="A86" s="172">
        <v>41021400</v>
      </c>
      <c r="B86" s="176" t="s">
        <v>287</v>
      </c>
      <c r="C86" s="54">
        <v>630910.4</v>
      </c>
      <c r="D86" s="157">
        <v>478094.8</v>
      </c>
      <c r="E86" s="27">
        <f t="shared" si="4"/>
        <v>-152815.60000000003</v>
      </c>
      <c r="F86" s="29">
        <f t="shared" si="5"/>
        <v>75.778557462359146</v>
      </c>
      <c r="G86" s="31"/>
      <c r="H86" s="31"/>
      <c r="I86" s="45"/>
      <c r="J86" s="154"/>
    </row>
    <row r="87" spans="1:10" s="2" customFormat="1" x14ac:dyDescent="0.25">
      <c r="A87" s="69">
        <v>41030000</v>
      </c>
      <c r="B87" s="33" t="s">
        <v>254</v>
      </c>
      <c r="C87" s="31">
        <f>C89+C90+C91+C92</f>
        <v>682939.15300000005</v>
      </c>
      <c r="D87" s="31">
        <f>D88+D89+D90+D91+D92+D93+D94+D95</f>
        <v>728842.51800000004</v>
      </c>
      <c r="E87" s="27">
        <f t="shared" si="4"/>
        <v>45903.364999999991</v>
      </c>
      <c r="F87" s="29">
        <f t="shared" si="5"/>
        <v>106.72144286915703</v>
      </c>
      <c r="G87" s="31">
        <f>G88</f>
        <v>210607.856</v>
      </c>
      <c r="H87" s="31">
        <f>H88+H92+H96</f>
        <v>50485.227169999998</v>
      </c>
      <c r="I87" s="31">
        <f t="shared" si="6"/>
        <v>-160122.62883</v>
      </c>
      <c r="J87" s="29">
        <f t="shared" si="7"/>
        <v>23.971198477040666</v>
      </c>
    </row>
    <row r="88" spans="1:10" s="2" customFormat="1" ht="56.25" x14ac:dyDescent="0.25">
      <c r="A88" s="69">
        <v>41031700</v>
      </c>
      <c r="B88" s="33" t="s">
        <v>304</v>
      </c>
      <c r="C88" s="31"/>
      <c r="D88" s="31"/>
      <c r="E88" s="27"/>
      <c r="F88" s="29"/>
      <c r="G88" s="31">
        <v>210607.856</v>
      </c>
      <c r="H88" s="157">
        <v>8842.6971699999995</v>
      </c>
      <c r="I88" s="27">
        <f t="shared" si="6"/>
        <v>-201765.15883</v>
      </c>
      <c r="J88" s="29">
        <f t="shared" si="7"/>
        <v>4.1986549495095753</v>
      </c>
    </row>
    <row r="89" spans="1:10" s="2" customFormat="1" ht="75" x14ac:dyDescent="0.25">
      <c r="A89" s="69">
        <v>41032800</v>
      </c>
      <c r="B89" s="33" t="s">
        <v>347</v>
      </c>
      <c r="C89" s="31">
        <v>17558.453000000001</v>
      </c>
      <c r="D89" s="157">
        <v>27278.418000000001</v>
      </c>
      <c r="E89" s="27">
        <f t="shared" si="4"/>
        <v>9719.9650000000001</v>
      </c>
      <c r="F89" s="29" t="s">
        <v>396</v>
      </c>
      <c r="G89" s="31"/>
      <c r="H89" s="31"/>
      <c r="I89" s="27"/>
      <c r="J89" s="154"/>
    </row>
    <row r="90" spans="1:10" s="2" customFormat="1" ht="75" x14ac:dyDescent="0.25">
      <c r="A90" s="69">
        <v>41033500</v>
      </c>
      <c r="B90" s="33" t="s">
        <v>348</v>
      </c>
      <c r="C90" s="31">
        <v>77393</v>
      </c>
      <c r="D90" s="157">
        <v>63073.3</v>
      </c>
      <c r="E90" s="27">
        <f t="shared" si="4"/>
        <v>-14319.699999999997</v>
      </c>
      <c r="F90" s="29">
        <f t="shared" si="5"/>
        <v>81.497422247490093</v>
      </c>
      <c r="G90" s="31"/>
      <c r="H90" s="31"/>
      <c r="I90" s="27"/>
      <c r="J90" s="154"/>
    </row>
    <row r="91" spans="1:10" s="2" customFormat="1" ht="56.25" x14ac:dyDescent="0.25">
      <c r="A91" s="69">
        <v>41033800</v>
      </c>
      <c r="B91" s="33" t="s">
        <v>349</v>
      </c>
      <c r="C91" s="31">
        <v>4708.2</v>
      </c>
      <c r="D91" s="31"/>
      <c r="E91" s="27">
        <f t="shared" si="4"/>
        <v>-4708.2</v>
      </c>
      <c r="F91" s="29"/>
      <c r="G91" s="31"/>
      <c r="H91" s="31"/>
      <c r="I91" s="27"/>
      <c r="J91" s="154"/>
    </row>
    <row r="92" spans="1:10" s="2" customFormat="1" x14ac:dyDescent="0.25">
      <c r="A92" s="69">
        <v>41033900</v>
      </c>
      <c r="B92" s="33" t="s">
        <v>255</v>
      </c>
      <c r="C92" s="54">
        <v>583279.5</v>
      </c>
      <c r="D92" s="157">
        <v>582942.5</v>
      </c>
      <c r="E92" s="27">
        <f t="shared" si="4"/>
        <v>-337</v>
      </c>
      <c r="F92" s="29">
        <f t="shared" si="5"/>
        <v>99.942223239458954</v>
      </c>
      <c r="G92" s="31"/>
      <c r="H92" s="157">
        <v>34417.43</v>
      </c>
      <c r="I92" s="27">
        <f t="shared" si="6"/>
        <v>34417.43</v>
      </c>
      <c r="J92" s="29"/>
    </row>
    <row r="93" spans="1:10" s="2" customFormat="1" ht="37.5" x14ac:dyDescent="0.25">
      <c r="A93" s="69">
        <v>41035400</v>
      </c>
      <c r="B93" s="33" t="s">
        <v>334</v>
      </c>
      <c r="C93" s="31"/>
      <c r="D93" s="157">
        <v>4396</v>
      </c>
      <c r="E93" s="27">
        <f t="shared" si="4"/>
        <v>4396</v>
      </c>
      <c r="F93" s="29"/>
      <c r="G93" s="31"/>
      <c r="H93" s="31"/>
      <c r="I93" s="27"/>
      <c r="J93" s="29"/>
    </row>
    <row r="94" spans="1:10" s="2" customFormat="1" ht="42.75" customHeight="1" x14ac:dyDescent="0.25">
      <c r="A94" s="69">
        <v>41036000</v>
      </c>
      <c r="B94" s="33" t="s">
        <v>394</v>
      </c>
      <c r="C94" s="31"/>
      <c r="D94" s="157">
        <v>9542</v>
      </c>
      <c r="E94" s="27">
        <f t="shared" si="4"/>
        <v>9542</v>
      </c>
      <c r="F94" s="29"/>
      <c r="G94" s="31"/>
      <c r="H94" s="31"/>
      <c r="I94" s="27"/>
      <c r="J94" s="29"/>
    </row>
    <row r="95" spans="1:10" s="2" customFormat="1" ht="37.5" x14ac:dyDescent="0.25">
      <c r="A95" s="69">
        <v>41036300</v>
      </c>
      <c r="B95" s="33" t="s">
        <v>335</v>
      </c>
      <c r="C95" s="37"/>
      <c r="D95" s="165">
        <v>41610.300000000003</v>
      </c>
      <c r="E95" s="27">
        <f t="shared" si="4"/>
        <v>41610.300000000003</v>
      </c>
      <c r="F95" s="29"/>
      <c r="G95" s="31"/>
      <c r="H95" s="31"/>
      <c r="I95" s="27"/>
      <c r="J95" s="29"/>
    </row>
    <row r="96" spans="1:10" s="2" customFormat="1" ht="37.5" x14ac:dyDescent="0.25">
      <c r="A96" s="69">
        <v>41037400</v>
      </c>
      <c r="B96" s="179" t="s">
        <v>489</v>
      </c>
      <c r="C96" s="31"/>
      <c r="D96" s="166"/>
      <c r="E96" s="27"/>
      <c r="F96" s="29"/>
      <c r="G96" s="31"/>
      <c r="H96" s="157">
        <v>7225.1</v>
      </c>
      <c r="I96" s="27">
        <f t="shared" si="6"/>
        <v>7225.1</v>
      </c>
      <c r="J96" s="29"/>
    </row>
    <row r="97" spans="1:10" s="11" customFormat="1" ht="24.75" customHeight="1" x14ac:dyDescent="0.3">
      <c r="A97" s="69">
        <v>41040000</v>
      </c>
      <c r="B97" s="176" t="s">
        <v>278</v>
      </c>
      <c r="C97" s="167">
        <f>C98</f>
        <v>260.76600000000002</v>
      </c>
      <c r="D97" s="168">
        <f>D98</f>
        <v>157.28800000000001</v>
      </c>
      <c r="E97" s="27">
        <f t="shared" si="4"/>
        <v>-103.47800000000001</v>
      </c>
      <c r="F97" s="29">
        <f t="shared" si="5"/>
        <v>60.317679452075815</v>
      </c>
      <c r="G97" s="31"/>
      <c r="H97" s="31"/>
      <c r="I97" s="27"/>
      <c r="J97" s="154"/>
    </row>
    <row r="98" spans="1:10" s="9" customFormat="1" x14ac:dyDescent="0.25">
      <c r="A98" s="69">
        <v>41040400</v>
      </c>
      <c r="B98" s="176" t="s">
        <v>277</v>
      </c>
      <c r="C98" s="54">
        <v>260.76600000000002</v>
      </c>
      <c r="D98" s="31">
        <v>157.28800000000001</v>
      </c>
      <c r="E98" s="27">
        <f t="shared" si="4"/>
        <v>-103.47800000000001</v>
      </c>
      <c r="F98" s="29">
        <f t="shared" si="5"/>
        <v>60.317679452075815</v>
      </c>
      <c r="G98" s="31"/>
      <c r="H98" s="31"/>
      <c r="I98" s="27"/>
      <c r="J98" s="154"/>
    </row>
    <row r="99" spans="1:10" s="2" customFormat="1" x14ac:dyDescent="0.25">
      <c r="A99" s="114">
        <v>41050000</v>
      </c>
      <c r="B99" s="70" t="s">
        <v>256</v>
      </c>
      <c r="C99" s="31">
        <f>C105+C108+C109+C102+C103+C104+C107</f>
        <v>71080.921000000002</v>
      </c>
      <c r="D99" s="31">
        <f>D100+D101+D102+D103+D104+D105+D106+D107+D108+D109+D110</f>
        <v>87523.662159999993</v>
      </c>
      <c r="E99" s="27">
        <f t="shared" si="4"/>
        <v>16442.74115999999</v>
      </c>
      <c r="F99" s="29">
        <f t="shared" si="5"/>
        <v>123.13242559139039</v>
      </c>
      <c r="G99" s="31"/>
      <c r="H99" s="31">
        <f>H102+H103+H104+H105+H106+H107+H108+H109</f>
        <v>6839.5439999999999</v>
      </c>
      <c r="I99" s="27">
        <f t="shared" si="6"/>
        <v>6839.5439999999999</v>
      </c>
      <c r="J99" s="29"/>
    </row>
    <row r="100" spans="1:10" s="2" customFormat="1" ht="56.25" x14ac:dyDescent="0.25">
      <c r="A100" s="114">
        <v>41050100</v>
      </c>
      <c r="B100" s="70" t="s">
        <v>395</v>
      </c>
      <c r="C100" s="31"/>
      <c r="D100" s="157">
        <v>7641</v>
      </c>
      <c r="E100" s="27">
        <f t="shared" si="4"/>
        <v>7641</v>
      </c>
      <c r="F100" s="29"/>
      <c r="G100" s="31"/>
      <c r="H100" s="31"/>
      <c r="I100" s="27"/>
      <c r="J100" s="29"/>
    </row>
    <row r="101" spans="1:10" s="2" customFormat="1" ht="243.75" x14ac:dyDescent="0.25">
      <c r="A101" s="114">
        <v>41050200</v>
      </c>
      <c r="B101" s="70" t="s">
        <v>490</v>
      </c>
      <c r="C101" s="31"/>
      <c r="D101" s="157">
        <v>62754.873</v>
      </c>
      <c r="E101" s="27">
        <f t="shared" si="4"/>
        <v>62754.873</v>
      </c>
      <c r="F101" s="29"/>
      <c r="G101" s="31"/>
      <c r="H101" s="31"/>
      <c r="I101" s="27"/>
      <c r="J101" s="29"/>
    </row>
    <row r="102" spans="1:10" s="2" customFormat="1" ht="225" x14ac:dyDescent="0.25">
      <c r="A102" s="114">
        <v>41050400</v>
      </c>
      <c r="B102" s="70" t="s">
        <v>321</v>
      </c>
      <c r="C102" s="54">
        <v>30874.633999999998</v>
      </c>
      <c r="D102" s="31"/>
      <c r="E102" s="27">
        <f t="shared" si="4"/>
        <v>-30874.633999999998</v>
      </c>
      <c r="F102" s="29"/>
      <c r="G102" s="31"/>
      <c r="H102" s="31"/>
      <c r="I102" s="27"/>
      <c r="J102" s="154"/>
    </row>
    <row r="103" spans="1:10" s="2" customFormat="1" ht="150" x14ac:dyDescent="0.25">
      <c r="A103" s="114">
        <v>41050500</v>
      </c>
      <c r="B103" s="70" t="s">
        <v>322</v>
      </c>
      <c r="C103" s="54">
        <v>1899.7940000000001</v>
      </c>
      <c r="D103" s="31"/>
      <c r="E103" s="27">
        <f t="shared" si="4"/>
        <v>-1899.7940000000001</v>
      </c>
      <c r="F103" s="29"/>
      <c r="G103" s="31"/>
      <c r="H103" s="31"/>
      <c r="I103" s="27"/>
      <c r="J103" s="154"/>
    </row>
    <row r="104" spans="1:10" s="2" customFormat="1" ht="225" x14ac:dyDescent="0.25">
      <c r="A104" s="114">
        <v>41050600</v>
      </c>
      <c r="B104" s="70" t="s">
        <v>323</v>
      </c>
      <c r="C104" s="54">
        <v>20903.54</v>
      </c>
      <c r="D104" s="31"/>
      <c r="E104" s="27">
        <f t="shared" si="4"/>
        <v>-20903.54</v>
      </c>
      <c r="F104" s="29"/>
      <c r="G104" s="31"/>
      <c r="H104" s="31"/>
      <c r="I104" s="27"/>
      <c r="J104" s="154"/>
    </row>
    <row r="105" spans="1:10" s="2" customFormat="1" ht="37.5" x14ac:dyDescent="0.25">
      <c r="A105" s="114">
        <v>41051000</v>
      </c>
      <c r="B105" s="67" t="s">
        <v>350</v>
      </c>
      <c r="C105" s="54">
        <v>9571.4809999999998</v>
      </c>
      <c r="D105" s="157">
        <v>10069.784</v>
      </c>
      <c r="E105" s="27">
        <f t="shared" si="4"/>
        <v>498.30299999999988</v>
      </c>
      <c r="F105" s="29">
        <f t="shared" si="5"/>
        <v>105.20612222915138</v>
      </c>
      <c r="G105" s="31"/>
      <c r="H105" s="31"/>
      <c r="I105" s="27"/>
      <c r="J105" s="154"/>
    </row>
    <row r="106" spans="1:10" s="2" customFormat="1" ht="37.5" x14ac:dyDescent="0.25">
      <c r="A106" s="114">
        <v>41051100</v>
      </c>
      <c r="B106" s="67" t="s">
        <v>318</v>
      </c>
      <c r="C106" s="31"/>
      <c r="D106" s="31"/>
      <c r="E106" s="27"/>
      <c r="F106" s="29"/>
      <c r="G106" s="31"/>
      <c r="H106" s="157">
        <v>6839.5439999999999</v>
      </c>
      <c r="I106" s="27">
        <f t="shared" si="6"/>
        <v>6839.5439999999999</v>
      </c>
      <c r="J106" s="154"/>
    </row>
    <row r="107" spans="1:10" s="2" customFormat="1" ht="56.25" x14ac:dyDescent="0.25">
      <c r="A107" s="173" t="s">
        <v>309</v>
      </c>
      <c r="B107" s="67" t="s">
        <v>310</v>
      </c>
      <c r="C107" s="54">
        <v>3607.9560000000001</v>
      </c>
      <c r="D107" s="31"/>
      <c r="E107" s="27">
        <f t="shared" si="4"/>
        <v>-3607.9560000000001</v>
      </c>
      <c r="F107" s="29"/>
      <c r="G107" s="31"/>
      <c r="H107" s="31"/>
      <c r="I107" s="27"/>
      <c r="J107" s="154"/>
    </row>
    <row r="108" spans="1:10" s="2" customFormat="1" ht="27.75" customHeight="1" x14ac:dyDescent="0.25">
      <c r="A108" s="173" t="s">
        <v>257</v>
      </c>
      <c r="B108" s="180" t="s">
        <v>165</v>
      </c>
      <c r="C108" s="54">
        <v>4140.357</v>
      </c>
      <c r="D108" s="157">
        <v>5649.75756</v>
      </c>
      <c r="E108" s="27">
        <f t="shared" si="4"/>
        <v>1509.40056</v>
      </c>
      <c r="F108" s="29">
        <f t="shared" si="5"/>
        <v>136.45580707170905</v>
      </c>
      <c r="G108" s="31"/>
      <c r="H108" s="31"/>
      <c r="I108" s="27"/>
      <c r="J108" s="154"/>
    </row>
    <row r="109" spans="1:10" s="2" customFormat="1" ht="56.25" x14ac:dyDescent="0.25">
      <c r="A109" s="173" t="s">
        <v>279</v>
      </c>
      <c r="B109" s="176" t="s">
        <v>288</v>
      </c>
      <c r="C109" s="54">
        <v>83.159000000000006</v>
      </c>
      <c r="D109" s="31"/>
      <c r="E109" s="27">
        <f t="shared" si="4"/>
        <v>-83.159000000000006</v>
      </c>
      <c r="F109" s="29"/>
      <c r="G109" s="31"/>
      <c r="H109" s="31"/>
      <c r="I109" s="27"/>
      <c r="J109" s="154"/>
    </row>
    <row r="110" spans="1:10" s="2" customFormat="1" ht="56.25" x14ac:dyDescent="0.25">
      <c r="A110" s="173" t="s">
        <v>336</v>
      </c>
      <c r="B110" s="181" t="s">
        <v>337</v>
      </c>
      <c r="C110" s="166"/>
      <c r="D110" s="157">
        <v>1408.2475999999999</v>
      </c>
      <c r="E110" s="27">
        <f t="shared" si="4"/>
        <v>1408.2475999999999</v>
      </c>
      <c r="F110" s="29"/>
      <c r="G110" s="31"/>
      <c r="H110" s="31"/>
      <c r="I110" s="27"/>
      <c r="J110" s="154"/>
    </row>
    <row r="111" spans="1:10" s="9" customFormat="1" x14ac:dyDescent="0.25">
      <c r="A111" s="182"/>
      <c r="B111" s="139" t="s">
        <v>258</v>
      </c>
      <c r="C111" s="51">
        <f>C83+C84</f>
        <v>4199804.92</v>
      </c>
      <c r="D111" s="51">
        <f>D83+D84</f>
        <v>4717004.6278900001</v>
      </c>
      <c r="E111" s="45">
        <f t="shared" si="4"/>
        <v>517199.70789000019</v>
      </c>
      <c r="F111" s="154">
        <f t="shared" si="5"/>
        <v>112.3148507547822</v>
      </c>
      <c r="G111" s="51">
        <f>G83+G84</f>
        <v>383372.64199999999</v>
      </c>
      <c r="H111" s="51">
        <f>H83+H84</f>
        <v>597867.65497999999</v>
      </c>
      <c r="I111" s="45">
        <f t="shared" si="6"/>
        <v>214495.01298</v>
      </c>
      <c r="J111" s="154" t="s">
        <v>396</v>
      </c>
    </row>
    <row r="112" spans="1:10" ht="22.5" x14ac:dyDescent="0.3">
      <c r="A112" s="198" t="s">
        <v>270</v>
      </c>
      <c r="B112" s="198"/>
      <c r="C112" s="198"/>
      <c r="D112" s="198"/>
      <c r="E112" s="198"/>
      <c r="F112" s="198"/>
      <c r="G112" s="198"/>
      <c r="H112" s="198"/>
      <c r="I112" s="198"/>
      <c r="J112" s="198"/>
    </row>
    <row r="113" spans="1:10" ht="20.25" x14ac:dyDescent="0.2">
      <c r="A113" s="85" t="s">
        <v>29</v>
      </c>
      <c r="B113" s="44" t="s">
        <v>4</v>
      </c>
      <c r="C113" s="45">
        <f>SUM(C114:C116)</f>
        <v>324627.37199999997</v>
      </c>
      <c r="D113" s="45">
        <f>SUM(D114:D116)</f>
        <v>387321.97499999998</v>
      </c>
      <c r="E113" s="45">
        <f t="shared" ref="E113:E121" si="8">SUM(D113-C113)</f>
        <v>62694.603000000003</v>
      </c>
      <c r="F113" s="46">
        <f t="shared" ref="F113:F114" si="9">SUM(D113/C113*100)</f>
        <v>119.31279011185785</v>
      </c>
      <c r="G113" s="45">
        <f>SUM(G114:G116)</f>
        <v>18406.425999999999</v>
      </c>
      <c r="H113" s="45">
        <f>SUM(H114:H116)</f>
        <v>21934.384999999998</v>
      </c>
      <c r="I113" s="45">
        <f>SUM(H113-G113)</f>
        <v>3527.9589999999989</v>
      </c>
      <c r="J113" s="46">
        <f>SUM(H113/G113*100)</f>
        <v>119.16699635225218</v>
      </c>
    </row>
    <row r="114" spans="1:10" x14ac:dyDescent="0.3">
      <c r="A114" s="30" t="s">
        <v>113</v>
      </c>
      <c r="B114" s="84" t="s">
        <v>5</v>
      </c>
      <c r="C114" s="50">
        <f>324627.372-42.5-922.211</f>
        <v>323662.66099999996</v>
      </c>
      <c r="D114" s="50">
        <f>387321.975-761.971</f>
        <v>386560.00399999996</v>
      </c>
      <c r="E114" s="27">
        <f t="shared" si="8"/>
        <v>62897.342999999993</v>
      </c>
      <c r="F114" s="28">
        <f t="shared" si="9"/>
        <v>119.43299322994814</v>
      </c>
      <c r="G114" s="50">
        <v>18406.425999999999</v>
      </c>
      <c r="H114" s="50">
        <v>21934.384999999998</v>
      </c>
      <c r="I114" s="27">
        <f>SUM(H114-G114)</f>
        <v>3527.9589999999989</v>
      </c>
      <c r="J114" s="28">
        <f>SUM(H114/G114*100)</f>
        <v>119.16699635225218</v>
      </c>
    </row>
    <row r="115" spans="1:10" x14ac:dyDescent="0.3">
      <c r="A115" s="30" t="s">
        <v>391</v>
      </c>
      <c r="B115" s="41" t="s">
        <v>392</v>
      </c>
      <c r="C115" s="50">
        <v>42.5</v>
      </c>
      <c r="D115" s="50"/>
      <c r="E115" s="16">
        <f t="shared" ref="E115" si="10">SUM(D115-C115)</f>
        <v>-42.5</v>
      </c>
      <c r="F115" s="28"/>
      <c r="G115" s="50"/>
      <c r="H115" s="50"/>
      <c r="I115" s="27"/>
      <c r="J115" s="28"/>
    </row>
    <row r="116" spans="1:10" x14ac:dyDescent="0.3">
      <c r="A116" s="30" t="s">
        <v>172</v>
      </c>
      <c r="B116" s="84" t="s">
        <v>173</v>
      </c>
      <c r="C116" s="50">
        <f>836.4+22.641+8.024+8.518+0.5+46.128</f>
        <v>922.21100000000001</v>
      </c>
      <c r="D116" s="50">
        <f>712+16.697+2.977+3.003+0.2+27.094</f>
        <v>761.97100000000012</v>
      </c>
      <c r="E116" s="27">
        <f t="shared" ref="E116" si="11">SUM(D116-C116)</f>
        <v>-160.2399999999999</v>
      </c>
      <c r="F116" s="28">
        <f>SUM(D116/C116*100)</f>
        <v>82.624366874825839</v>
      </c>
      <c r="G116" s="50"/>
      <c r="H116" s="50"/>
      <c r="I116" s="27"/>
      <c r="J116" s="29"/>
    </row>
    <row r="117" spans="1:10" ht="20.25" x14ac:dyDescent="0.2">
      <c r="A117" s="92" t="s">
        <v>30</v>
      </c>
      <c r="B117" s="78" t="s">
        <v>6</v>
      </c>
      <c r="C117" s="48">
        <f>C118+C119+C122+C126+C127+C128+C132+C133+C136+C139+C140+C141+C154+C155+C153+C125</f>
        <v>1319768.1830000004</v>
      </c>
      <c r="D117" s="48">
        <f>D118+D119+D122+D126+D127+D128+D132+D133+D136+D139+D140+D141+D154+D155+D153+D151</f>
        <v>1527507.8370000001</v>
      </c>
      <c r="E117" s="48">
        <f t="shared" si="8"/>
        <v>207739.65399999963</v>
      </c>
      <c r="F117" s="76">
        <f>SUM(D117/C117*100)</f>
        <v>115.74061692620754</v>
      </c>
      <c r="G117" s="48">
        <f>G118+G119+G122+G126+G127+G128+G132+G133+G136+G139+G140+G141+G154+G155+G153+G145</f>
        <v>106080.114</v>
      </c>
      <c r="H117" s="48">
        <f>H118+H119+H122+H126+H127+H128+H132+H133+H136+H139+H140+H141+H154+H155+H153+H146+H147+H151+H152+H156+H149+H142</f>
        <v>280664.19700000004</v>
      </c>
      <c r="I117" s="48">
        <f>SUM(H117-G117)</f>
        <v>174584.08300000004</v>
      </c>
      <c r="J117" s="28" t="s">
        <v>496</v>
      </c>
    </row>
    <row r="118" spans="1:10" x14ac:dyDescent="0.2">
      <c r="A118" s="79" t="s">
        <v>31</v>
      </c>
      <c r="B118" s="83" t="s">
        <v>177</v>
      </c>
      <c r="C118" s="18">
        <v>355720.93900000001</v>
      </c>
      <c r="D118" s="18">
        <v>434258.44799999997</v>
      </c>
      <c r="E118" s="16">
        <f t="shared" si="8"/>
        <v>78537.508999999962</v>
      </c>
      <c r="F118" s="23">
        <f>SUM(D118/C118*100)</f>
        <v>122.0784048363259</v>
      </c>
      <c r="G118" s="17">
        <f>27563.871+561.296</f>
        <v>28125.166999999998</v>
      </c>
      <c r="H118" s="17">
        <f>58555.202+2865.982</f>
        <v>61421.183999999994</v>
      </c>
      <c r="I118" s="16">
        <f>SUM(H118-G118)</f>
        <v>33296.016999999993</v>
      </c>
      <c r="J118" s="28" t="s">
        <v>483</v>
      </c>
    </row>
    <row r="119" spans="1:10" s="12" customFormat="1" x14ac:dyDescent="0.2">
      <c r="A119" s="79" t="s">
        <v>32</v>
      </c>
      <c r="B119" s="83" t="s">
        <v>182</v>
      </c>
      <c r="C119" s="17">
        <f>SUM(C120:C121)</f>
        <v>173780.75099999999</v>
      </c>
      <c r="D119" s="17">
        <f>D120+D121</f>
        <v>241922.77</v>
      </c>
      <c r="E119" s="16">
        <f t="shared" si="8"/>
        <v>68142.019</v>
      </c>
      <c r="F119" s="23">
        <f t="shared" ref="F119:F141" si="12">SUM(D119/C119*100)</f>
        <v>139.21148838860756</v>
      </c>
      <c r="G119" s="17">
        <f>SUM(G120:G121)</f>
        <v>65875.584000000003</v>
      </c>
      <c r="H119" s="17">
        <f>SUM(H120:H121)</f>
        <v>129011.44699999999</v>
      </c>
      <c r="I119" s="16">
        <f>SUM(H119-G119)</f>
        <v>63135.862999999983</v>
      </c>
      <c r="J119" s="28" t="s">
        <v>328</v>
      </c>
    </row>
    <row r="120" spans="1:10" ht="37.5" x14ac:dyDescent="0.2">
      <c r="A120" s="79" t="s">
        <v>259</v>
      </c>
      <c r="B120" s="83" t="s">
        <v>283</v>
      </c>
      <c r="C120" s="18">
        <v>167494.58799999999</v>
      </c>
      <c r="D120" s="17">
        <v>233285.97099999999</v>
      </c>
      <c r="E120" s="16">
        <f t="shared" si="8"/>
        <v>65791.383000000002</v>
      </c>
      <c r="F120" s="23">
        <f t="shared" si="12"/>
        <v>139.27970675685356</v>
      </c>
      <c r="G120" s="17">
        <f>62916.674+2771.196</f>
        <v>65687.87</v>
      </c>
      <c r="H120" s="17">
        <f>115768.871+3377.669</f>
        <v>119146.54</v>
      </c>
      <c r="I120" s="16">
        <f>SUM(H120-G120)</f>
        <v>53458.67</v>
      </c>
      <c r="J120" s="28" t="s">
        <v>497</v>
      </c>
    </row>
    <row r="121" spans="1:10" ht="63.75" customHeight="1" x14ac:dyDescent="0.2">
      <c r="A121" s="79" t="s">
        <v>183</v>
      </c>
      <c r="B121" s="93" t="s">
        <v>359</v>
      </c>
      <c r="C121" s="17">
        <v>6286.1629999999996</v>
      </c>
      <c r="D121" s="17">
        <v>8636.7990000000009</v>
      </c>
      <c r="E121" s="16">
        <f t="shared" si="8"/>
        <v>2350.6360000000013</v>
      </c>
      <c r="F121" s="23">
        <f t="shared" si="12"/>
        <v>137.39381240989138</v>
      </c>
      <c r="G121" s="17">
        <f>187.714</f>
        <v>187.714</v>
      </c>
      <c r="H121" s="17">
        <v>9864.9069999999992</v>
      </c>
      <c r="I121" s="16">
        <f>SUM(H121-G121)</f>
        <v>9677.1929999999993</v>
      </c>
      <c r="J121" s="28" t="s">
        <v>465</v>
      </c>
    </row>
    <row r="122" spans="1:10" s="12" customFormat="1" x14ac:dyDescent="0.2">
      <c r="A122" s="79" t="s">
        <v>33</v>
      </c>
      <c r="B122" s="94" t="s">
        <v>184</v>
      </c>
      <c r="C122" s="17">
        <f>SUM(C123:C124)</f>
        <v>524383.64</v>
      </c>
      <c r="D122" s="17">
        <f>SUM(D123:D124)</f>
        <v>529655.60899999994</v>
      </c>
      <c r="E122" s="16">
        <f>SUM(D122-C122)</f>
        <v>5271.9689999999246</v>
      </c>
      <c r="F122" s="23">
        <f t="shared" si="12"/>
        <v>101.005364888958</v>
      </c>
      <c r="G122" s="49"/>
      <c r="H122" s="49"/>
      <c r="I122" s="101"/>
      <c r="J122" s="24"/>
    </row>
    <row r="123" spans="1:10" ht="26.25" customHeight="1" x14ac:dyDescent="0.2">
      <c r="A123" s="79" t="s">
        <v>185</v>
      </c>
      <c r="B123" s="83" t="s">
        <v>284</v>
      </c>
      <c r="C123" s="18">
        <v>519001.08399999997</v>
      </c>
      <c r="D123" s="18">
        <v>524676.99899999995</v>
      </c>
      <c r="E123" s="16">
        <f>SUM(D123-C123)</f>
        <v>5675.914999999979</v>
      </c>
      <c r="F123" s="23">
        <f t="shared" si="12"/>
        <v>101.09362295667191</v>
      </c>
      <c r="G123" s="17"/>
      <c r="H123" s="17"/>
      <c r="I123" s="101"/>
      <c r="J123" s="24"/>
    </row>
    <row r="124" spans="1:10" ht="61.5" customHeight="1" x14ac:dyDescent="0.2">
      <c r="A124" s="79" t="s">
        <v>186</v>
      </c>
      <c r="B124" s="95" t="s">
        <v>360</v>
      </c>
      <c r="C124" s="17">
        <v>5382.5559999999996</v>
      </c>
      <c r="D124" s="17">
        <v>4978.6099999999997</v>
      </c>
      <c r="E124" s="16">
        <f>SUM(D124-C124)</f>
        <v>-403.94599999999991</v>
      </c>
      <c r="F124" s="23">
        <f t="shared" si="12"/>
        <v>92.495275478787391</v>
      </c>
      <c r="G124" s="17"/>
      <c r="H124" s="17"/>
      <c r="I124" s="101"/>
      <c r="J124" s="24"/>
    </row>
    <row r="125" spans="1:10" ht="75" customHeight="1" x14ac:dyDescent="0.2">
      <c r="A125" s="79" t="s">
        <v>436</v>
      </c>
      <c r="B125" s="96" t="s">
        <v>441</v>
      </c>
      <c r="C125" s="17">
        <v>330</v>
      </c>
      <c r="D125" s="17"/>
      <c r="E125" s="16">
        <f>SUM(D125-C125)</f>
        <v>-330</v>
      </c>
      <c r="F125" s="23">
        <f>SUM(D125/C125*100)</f>
        <v>0</v>
      </c>
      <c r="G125" s="17"/>
      <c r="H125" s="17"/>
      <c r="I125" s="101"/>
      <c r="J125" s="24"/>
    </row>
    <row r="126" spans="1:10" ht="27" customHeight="1" x14ac:dyDescent="0.2">
      <c r="A126" s="79" t="s">
        <v>187</v>
      </c>
      <c r="B126" s="83" t="s">
        <v>188</v>
      </c>
      <c r="C126" s="18">
        <v>30651.937000000002</v>
      </c>
      <c r="D126" s="18">
        <v>36354.203000000001</v>
      </c>
      <c r="E126" s="16">
        <f>SUM(D126-C126)</f>
        <v>5702.2659999999996</v>
      </c>
      <c r="F126" s="23">
        <f t="shared" si="12"/>
        <v>118.60328109117542</v>
      </c>
      <c r="G126" s="17">
        <v>45.945999999999998</v>
      </c>
      <c r="H126" s="17">
        <v>65.159000000000006</v>
      </c>
      <c r="I126" s="16">
        <f>SUM(H126-G126)</f>
        <v>19.213000000000008</v>
      </c>
      <c r="J126" s="28">
        <f>SUM(H126/G126*100)</f>
        <v>141.81648021590564</v>
      </c>
    </row>
    <row r="127" spans="1:10" s="14" customFormat="1" x14ac:dyDescent="0.2">
      <c r="A127" s="73" t="s">
        <v>181</v>
      </c>
      <c r="B127" s="102" t="s">
        <v>178</v>
      </c>
      <c r="C127" s="18">
        <v>51453.942000000003</v>
      </c>
      <c r="D127" s="18">
        <v>50623.078999999998</v>
      </c>
      <c r="E127" s="16">
        <f t="shared" ref="E127" si="13">SUM(D127-C127)</f>
        <v>-830.86300000000483</v>
      </c>
      <c r="F127" s="23">
        <f t="shared" si="12"/>
        <v>98.385229648682696</v>
      </c>
      <c r="G127" s="16">
        <v>2747.404</v>
      </c>
      <c r="H127" s="16">
        <v>3895.3629999999998</v>
      </c>
      <c r="I127" s="16">
        <f>SUM(H127-G127)</f>
        <v>1147.9589999999998</v>
      </c>
      <c r="J127" s="28">
        <f>SUM(H127/G127*100)</f>
        <v>141.78340717273471</v>
      </c>
    </row>
    <row r="128" spans="1:10" s="98" customFormat="1" ht="37.5" x14ac:dyDescent="0.2">
      <c r="A128" s="73" t="s">
        <v>34</v>
      </c>
      <c r="B128" s="20" t="s">
        <v>179</v>
      </c>
      <c r="C128" s="17">
        <f>SUM(C129:C130)</f>
        <v>138510.272</v>
      </c>
      <c r="D128" s="17">
        <f>SUM(D129:D130)</f>
        <v>149421.068</v>
      </c>
      <c r="E128" s="16">
        <f t="shared" ref="E128:E139" si="14">SUM(D128-C128)</f>
        <v>10910.796000000002</v>
      </c>
      <c r="F128" s="23">
        <f t="shared" si="12"/>
        <v>107.87724682253167</v>
      </c>
      <c r="G128" s="17">
        <f>SUM(G129:G130)</f>
        <v>7206.0110000000004</v>
      </c>
      <c r="H128" s="17">
        <v>29982.563999999998</v>
      </c>
      <c r="I128" s="16">
        <f>SUM(H128-G128)</f>
        <v>22776.553</v>
      </c>
      <c r="J128" s="28" t="s">
        <v>466</v>
      </c>
    </row>
    <row r="129" spans="1:10" s="14" customFormat="1" ht="37.5" x14ac:dyDescent="0.2">
      <c r="A129" s="73" t="s">
        <v>189</v>
      </c>
      <c r="B129" s="20" t="s">
        <v>190</v>
      </c>
      <c r="C129" s="17">
        <v>125730.73699999999</v>
      </c>
      <c r="D129" s="17">
        <v>134222.99799999999</v>
      </c>
      <c r="E129" s="16">
        <f t="shared" si="14"/>
        <v>8492.2609999999986</v>
      </c>
      <c r="F129" s="23">
        <f t="shared" si="12"/>
        <v>106.75432372594777</v>
      </c>
      <c r="G129" s="17">
        <v>7206.0110000000004</v>
      </c>
      <c r="H129" s="16">
        <v>29982.563999999998</v>
      </c>
      <c r="I129" s="16">
        <f>SUM(H129-G129)</f>
        <v>22776.553</v>
      </c>
      <c r="J129" s="28" t="s">
        <v>466</v>
      </c>
    </row>
    <row r="130" spans="1:10" s="14" customFormat="1" ht="37.5" x14ac:dyDescent="0.2">
      <c r="A130" s="73" t="s">
        <v>191</v>
      </c>
      <c r="B130" s="20" t="s">
        <v>201</v>
      </c>
      <c r="C130" s="17">
        <v>12779.535</v>
      </c>
      <c r="D130" s="17">
        <v>15198.07</v>
      </c>
      <c r="E130" s="16">
        <f t="shared" si="14"/>
        <v>2418.5349999999999</v>
      </c>
      <c r="F130" s="23">
        <f t="shared" si="12"/>
        <v>118.92506260986804</v>
      </c>
      <c r="G130" s="17"/>
      <c r="H130" s="17"/>
      <c r="I130" s="16"/>
      <c r="J130" s="24"/>
    </row>
    <row r="131" spans="1:10" s="14" customFormat="1" x14ac:dyDescent="0.3">
      <c r="A131" s="73" t="s">
        <v>460</v>
      </c>
      <c r="B131" s="104" t="s">
        <v>461</v>
      </c>
      <c r="C131" s="17">
        <f>SUM(C132)</f>
        <v>3530.5740000000001</v>
      </c>
      <c r="D131" s="17">
        <f>SUM(D132)</f>
        <v>2504.8440000000001</v>
      </c>
      <c r="E131" s="16">
        <f t="shared" ref="E131" si="15">SUM(D131-C131)</f>
        <v>-1025.73</v>
      </c>
      <c r="F131" s="23">
        <f t="shared" ref="F131" si="16">SUM(D131/C131*100)</f>
        <v>70.94721708141509</v>
      </c>
      <c r="G131" s="17">
        <f>SUM(G132)</f>
        <v>381.39400000000001</v>
      </c>
      <c r="H131" s="17">
        <f>SUM(H132)</f>
        <v>0</v>
      </c>
      <c r="I131" s="27">
        <f t="shared" ref="I131" si="17">H131-G131</f>
        <v>-381.39400000000001</v>
      </c>
      <c r="J131" s="28">
        <f>SUM(H131/G131*100)</f>
        <v>0</v>
      </c>
    </row>
    <row r="132" spans="1:10" s="14" customFormat="1" x14ac:dyDescent="0.2">
      <c r="A132" s="79" t="s">
        <v>192</v>
      </c>
      <c r="B132" s="99" t="s">
        <v>273</v>
      </c>
      <c r="C132" s="18">
        <v>3530.5740000000001</v>
      </c>
      <c r="D132" s="18">
        <v>2504.8440000000001</v>
      </c>
      <c r="E132" s="16">
        <f t="shared" si="14"/>
        <v>-1025.73</v>
      </c>
      <c r="F132" s="23">
        <f t="shared" si="12"/>
        <v>70.94721708141509</v>
      </c>
      <c r="G132" s="17">
        <v>381.39400000000001</v>
      </c>
      <c r="H132" s="16"/>
      <c r="I132" s="16">
        <f>SUM(H132-G132)</f>
        <v>-381.39400000000001</v>
      </c>
      <c r="J132" s="28">
        <f>SUM(H132/G132*100)</f>
        <v>0</v>
      </c>
    </row>
    <row r="133" spans="1:10" s="98" customFormat="1" x14ac:dyDescent="0.2">
      <c r="A133" s="73" t="s">
        <v>193</v>
      </c>
      <c r="B133" s="20" t="s">
        <v>162</v>
      </c>
      <c r="C133" s="17">
        <f>C134+C135</f>
        <v>27235.659</v>
      </c>
      <c r="D133" s="17">
        <f>D134+D135</f>
        <v>26629.61</v>
      </c>
      <c r="E133" s="16">
        <f t="shared" si="14"/>
        <v>-606.04899999999907</v>
      </c>
      <c r="F133" s="23">
        <f t="shared" si="12"/>
        <v>97.774795902680381</v>
      </c>
      <c r="G133" s="17">
        <f>G134+G135</f>
        <v>199.98</v>
      </c>
      <c r="H133" s="17">
        <f>H134+H135</f>
        <v>658.64800000000002</v>
      </c>
      <c r="I133" s="16">
        <f>SUM(H133-G133)</f>
        <v>458.66800000000001</v>
      </c>
      <c r="J133" s="28" t="s">
        <v>397</v>
      </c>
    </row>
    <row r="134" spans="1:10" s="14" customFormat="1" x14ac:dyDescent="0.2">
      <c r="A134" s="73" t="s">
        <v>194</v>
      </c>
      <c r="B134" s="99" t="s">
        <v>114</v>
      </c>
      <c r="C134" s="18">
        <v>26375.111000000001</v>
      </c>
      <c r="D134" s="18">
        <v>25785.88</v>
      </c>
      <c r="E134" s="16">
        <f t="shared" si="14"/>
        <v>-589.23099999999977</v>
      </c>
      <c r="F134" s="23">
        <f t="shared" si="12"/>
        <v>97.76595821719954</v>
      </c>
      <c r="G134" s="17">
        <v>199.98</v>
      </c>
      <c r="H134" s="16">
        <v>658.64800000000002</v>
      </c>
      <c r="I134" s="16">
        <f>SUM(H134-G134)</f>
        <v>458.66800000000001</v>
      </c>
      <c r="J134" s="28" t="s">
        <v>467</v>
      </c>
    </row>
    <row r="135" spans="1:10" s="14" customFormat="1" x14ac:dyDescent="0.2">
      <c r="A135" s="73" t="s">
        <v>195</v>
      </c>
      <c r="B135" s="99" t="s">
        <v>115</v>
      </c>
      <c r="C135" s="18">
        <v>860.548</v>
      </c>
      <c r="D135" s="18">
        <v>843.73</v>
      </c>
      <c r="E135" s="16">
        <f t="shared" si="14"/>
        <v>-16.817999999999984</v>
      </c>
      <c r="F135" s="23">
        <f t="shared" si="12"/>
        <v>98.045663925777532</v>
      </c>
      <c r="G135" s="17"/>
      <c r="H135" s="17"/>
      <c r="I135" s="16"/>
      <c r="J135" s="24"/>
    </row>
    <row r="136" spans="1:10" s="98" customFormat="1" x14ac:dyDescent="0.2">
      <c r="A136" s="73" t="s">
        <v>91</v>
      </c>
      <c r="B136" s="20" t="s">
        <v>175</v>
      </c>
      <c r="C136" s="17">
        <f>SUM(C137:C138)</f>
        <v>9921.1579999999994</v>
      </c>
      <c r="D136" s="17">
        <f>SUM(D137:D138)</f>
        <v>9096.7759999999998</v>
      </c>
      <c r="E136" s="16">
        <f t="shared" si="14"/>
        <v>-824.38199999999961</v>
      </c>
      <c r="F136" s="23">
        <f t="shared" si="12"/>
        <v>91.690667561185904</v>
      </c>
      <c r="G136" s="17"/>
      <c r="H136" s="17">
        <v>17.684999999999999</v>
      </c>
      <c r="I136" s="16">
        <f>SUM(H136-G136)</f>
        <v>17.684999999999999</v>
      </c>
      <c r="J136" s="24"/>
    </row>
    <row r="137" spans="1:10" s="14" customFormat="1" x14ac:dyDescent="0.2">
      <c r="A137" s="73" t="s">
        <v>196</v>
      </c>
      <c r="B137" s="20" t="s">
        <v>197</v>
      </c>
      <c r="C137" s="18">
        <v>2014.9179999999999</v>
      </c>
      <c r="D137" s="18">
        <v>1360.07</v>
      </c>
      <c r="E137" s="16">
        <f t="shared" si="14"/>
        <v>-654.84799999999996</v>
      </c>
      <c r="F137" s="23">
        <f t="shared" si="12"/>
        <v>67.500017370433923</v>
      </c>
      <c r="G137" s="17"/>
      <c r="H137" s="17">
        <v>17.684999999999999</v>
      </c>
      <c r="I137" s="16">
        <f>SUM(H137-G137)</f>
        <v>17.684999999999999</v>
      </c>
      <c r="J137" s="24"/>
    </row>
    <row r="138" spans="1:10" s="14" customFormat="1" x14ac:dyDescent="0.2">
      <c r="A138" s="73" t="s">
        <v>198</v>
      </c>
      <c r="B138" s="20" t="s">
        <v>199</v>
      </c>
      <c r="C138" s="18">
        <v>7906.24</v>
      </c>
      <c r="D138" s="18">
        <v>7736.7060000000001</v>
      </c>
      <c r="E138" s="16">
        <f t="shared" si="14"/>
        <v>-169.53399999999965</v>
      </c>
      <c r="F138" s="23">
        <f t="shared" si="12"/>
        <v>97.855693730521722</v>
      </c>
      <c r="G138" s="17"/>
      <c r="H138" s="17"/>
      <c r="I138" s="16"/>
      <c r="J138" s="24"/>
    </row>
    <row r="139" spans="1:10" s="14" customFormat="1" x14ac:dyDescent="0.2">
      <c r="A139" s="79" t="s">
        <v>87</v>
      </c>
      <c r="B139" s="99" t="s">
        <v>200</v>
      </c>
      <c r="C139" s="18">
        <v>3110.2719999999999</v>
      </c>
      <c r="D139" s="18">
        <v>3563.6210000000001</v>
      </c>
      <c r="E139" s="16">
        <f t="shared" si="14"/>
        <v>453.34900000000016</v>
      </c>
      <c r="F139" s="23">
        <f t="shared" si="12"/>
        <v>114.57586346145932</v>
      </c>
      <c r="G139" s="17"/>
      <c r="H139" s="17"/>
      <c r="I139" s="16"/>
      <c r="J139" s="24"/>
    </row>
    <row r="140" spans="1:10" s="14" customFormat="1" ht="37.5" x14ac:dyDescent="0.2">
      <c r="A140" s="79" t="s">
        <v>292</v>
      </c>
      <c r="B140" s="20" t="s">
        <v>293</v>
      </c>
      <c r="C140" s="21"/>
      <c r="D140" s="17">
        <v>3518.7420000000002</v>
      </c>
      <c r="E140" s="16">
        <f>SUM(D140-C140)</f>
        <v>3518.7420000000002</v>
      </c>
      <c r="F140" s="23"/>
      <c r="G140" s="17"/>
      <c r="H140" s="17"/>
      <c r="I140" s="16"/>
      <c r="J140" s="24"/>
    </row>
    <row r="141" spans="1:10" s="14" customFormat="1" ht="56.25" x14ac:dyDescent="0.2">
      <c r="A141" s="79" t="s">
        <v>366</v>
      </c>
      <c r="B141" s="20" t="s">
        <v>367</v>
      </c>
      <c r="C141" s="21">
        <v>1139.039</v>
      </c>
      <c r="D141" s="17"/>
      <c r="E141" s="16">
        <f t="shared" ref="E141:E151" si="18">SUM(D141-C141)</f>
        <v>-1139.039</v>
      </c>
      <c r="F141" s="23">
        <f t="shared" si="12"/>
        <v>0</v>
      </c>
      <c r="G141" s="17"/>
      <c r="H141" s="17"/>
      <c r="I141" s="16"/>
      <c r="J141" s="24"/>
    </row>
    <row r="142" spans="1:10" s="14" customFormat="1" ht="75" x14ac:dyDescent="0.2">
      <c r="A142" s="19" t="s">
        <v>450</v>
      </c>
      <c r="B142" s="107" t="s">
        <v>451</v>
      </c>
      <c r="C142" s="21"/>
      <c r="D142" s="21"/>
      <c r="E142" s="16"/>
      <c r="F142" s="23"/>
      <c r="G142" s="21">
        <f>SUM(G143:G144)</f>
        <v>0</v>
      </c>
      <c r="H142" s="21">
        <f>SUM(H143:H144)</f>
        <v>12629.28</v>
      </c>
      <c r="I142" s="16">
        <f t="shared" ref="I142" si="19">SUM(H142-G142)</f>
        <v>12629.28</v>
      </c>
      <c r="J142" s="23"/>
    </row>
    <row r="143" spans="1:10" s="14" customFormat="1" ht="93.75" x14ac:dyDescent="0.2">
      <c r="A143" s="19" t="s">
        <v>446</v>
      </c>
      <c r="B143" s="106" t="s">
        <v>447</v>
      </c>
      <c r="C143" s="21"/>
      <c r="D143" s="17"/>
      <c r="E143" s="16"/>
      <c r="F143" s="23"/>
      <c r="G143" s="17"/>
      <c r="H143" s="17">
        <v>3928.895</v>
      </c>
      <c r="I143" s="16">
        <f t="shared" ref="I143:I145" si="20">SUM(H143-G143)</f>
        <v>3928.895</v>
      </c>
      <c r="J143" s="23"/>
    </row>
    <row r="144" spans="1:10" s="14" customFormat="1" ht="93.75" x14ac:dyDescent="0.2">
      <c r="A144" s="79" t="s">
        <v>448</v>
      </c>
      <c r="B144" s="106" t="s">
        <v>449</v>
      </c>
      <c r="C144" s="21"/>
      <c r="D144" s="22"/>
      <c r="E144" s="16"/>
      <c r="F144" s="23"/>
      <c r="G144" s="17"/>
      <c r="H144" s="17">
        <v>8700.3850000000002</v>
      </c>
      <c r="I144" s="16">
        <f t="shared" si="20"/>
        <v>8700.3850000000002</v>
      </c>
      <c r="J144" s="23"/>
    </row>
    <row r="145" spans="1:10" s="14" customFormat="1" ht="56.25" x14ac:dyDescent="0.2">
      <c r="A145" s="79" t="s">
        <v>453</v>
      </c>
      <c r="B145" s="106" t="s">
        <v>452</v>
      </c>
      <c r="C145" s="21"/>
      <c r="D145" s="21"/>
      <c r="E145" s="16"/>
      <c r="F145" s="23"/>
      <c r="G145" s="21">
        <f>SUM(G146:G147)</f>
        <v>163.22499999999999</v>
      </c>
      <c r="H145" s="21">
        <f>SUM(H146:H147)</f>
        <v>13968.282999999999</v>
      </c>
      <c r="I145" s="16">
        <f t="shared" si="20"/>
        <v>13805.057999999999</v>
      </c>
      <c r="J145" s="23" t="s">
        <v>498</v>
      </c>
    </row>
    <row r="146" spans="1:10" s="14" customFormat="1" ht="93.75" x14ac:dyDescent="0.2">
      <c r="A146" s="19" t="s">
        <v>384</v>
      </c>
      <c r="B146" s="20" t="s">
        <v>385</v>
      </c>
      <c r="C146" s="21"/>
      <c r="D146" s="22"/>
      <c r="E146" s="16"/>
      <c r="F146" s="23"/>
      <c r="G146" s="17">
        <v>48.966999999999999</v>
      </c>
      <c r="H146" s="17">
        <v>4190.4849999999997</v>
      </c>
      <c r="I146" s="16">
        <f t="shared" ref="I146:I154" si="21">SUM(H146-G146)</f>
        <v>4141.518</v>
      </c>
      <c r="J146" s="23" t="s">
        <v>498</v>
      </c>
    </row>
    <row r="147" spans="1:10" s="14" customFormat="1" ht="93.75" x14ac:dyDescent="0.2">
      <c r="A147" s="19" t="s">
        <v>386</v>
      </c>
      <c r="B147" s="20" t="s">
        <v>387</v>
      </c>
      <c r="C147" s="21"/>
      <c r="D147" s="22"/>
      <c r="E147" s="16"/>
      <c r="F147" s="23"/>
      <c r="G147" s="17">
        <v>114.258</v>
      </c>
      <c r="H147" s="17">
        <v>9777.7980000000007</v>
      </c>
      <c r="I147" s="16">
        <f t="shared" si="21"/>
        <v>9663.5400000000009</v>
      </c>
      <c r="J147" s="23" t="s">
        <v>498</v>
      </c>
    </row>
    <row r="148" spans="1:10" s="14" customFormat="1" ht="37.5" x14ac:dyDescent="0.2">
      <c r="A148" s="19" t="s">
        <v>454</v>
      </c>
      <c r="B148" s="105" t="s">
        <v>455</v>
      </c>
      <c r="C148" s="21"/>
      <c r="D148" s="21"/>
      <c r="E148" s="16"/>
      <c r="F148" s="24"/>
      <c r="G148" s="21"/>
      <c r="H148" s="21">
        <f>SUM(H149)</f>
        <v>3700.3090000000002</v>
      </c>
      <c r="I148" s="16">
        <f>SUM(H148-G148)</f>
        <v>3700.3090000000002</v>
      </c>
      <c r="J148" s="24"/>
    </row>
    <row r="149" spans="1:10" s="14" customFormat="1" ht="56.25" x14ac:dyDescent="0.2">
      <c r="A149" s="19" t="s">
        <v>437</v>
      </c>
      <c r="B149" s="20" t="s">
        <v>438</v>
      </c>
      <c r="C149" s="21"/>
      <c r="D149" s="22"/>
      <c r="E149" s="16"/>
      <c r="F149" s="23"/>
      <c r="G149" s="17"/>
      <c r="H149" s="17">
        <v>3700.3090000000002</v>
      </c>
      <c r="I149" s="16">
        <f>SUM(H149-G149)</f>
        <v>3700.3090000000002</v>
      </c>
      <c r="J149" s="24"/>
    </row>
    <row r="150" spans="1:10" s="14" customFormat="1" ht="56.25" x14ac:dyDescent="0.2">
      <c r="A150" s="19" t="s">
        <v>457</v>
      </c>
      <c r="B150" s="105" t="s">
        <v>456</v>
      </c>
      <c r="C150" s="21">
        <f>SUM(C151:C152)</f>
        <v>0</v>
      </c>
      <c r="D150" s="21">
        <f>SUM(D151:D152)</f>
        <v>99.953999999999994</v>
      </c>
      <c r="E150" s="16">
        <f>SUM(D150-C150)</f>
        <v>99.953999999999994</v>
      </c>
      <c r="F150" s="24">
        <v>100</v>
      </c>
      <c r="G150" s="17"/>
      <c r="H150" s="21">
        <f>SUM(H151:H152)</f>
        <v>5085.527</v>
      </c>
      <c r="I150" s="16">
        <f>SUM(H150-G150)</f>
        <v>5085.527</v>
      </c>
      <c r="J150" s="24"/>
    </row>
    <row r="151" spans="1:10" s="14" customFormat="1" ht="75" x14ac:dyDescent="0.2">
      <c r="A151" s="79" t="s">
        <v>382</v>
      </c>
      <c r="B151" s="20" t="s">
        <v>383</v>
      </c>
      <c r="C151" s="21"/>
      <c r="D151" s="17">
        <v>99.953999999999994</v>
      </c>
      <c r="E151" s="16">
        <f t="shared" si="18"/>
        <v>99.953999999999994</v>
      </c>
      <c r="F151" s="23">
        <v>100</v>
      </c>
      <c r="G151" s="17"/>
      <c r="H151" s="17">
        <v>418.59399999999999</v>
      </c>
      <c r="I151" s="16">
        <f t="shared" si="21"/>
        <v>418.59399999999999</v>
      </c>
      <c r="J151" s="24"/>
    </row>
    <row r="152" spans="1:10" s="14" customFormat="1" ht="56.25" x14ac:dyDescent="0.2">
      <c r="A152" s="79" t="s">
        <v>388</v>
      </c>
      <c r="B152" s="20" t="s">
        <v>389</v>
      </c>
      <c r="C152" s="21"/>
      <c r="D152" s="17"/>
      <c r="E152" s="16"/>
      <c r="F152" s="23"/>
      <c r="G152" s="17"/>
      <c r="H152" s="17">
        <v>4666.933</v>
      </c>
      <c r="I152" s="16">
        <f t="shared" si="21"/>
        <v>4666.933</v>
      </c>
      <c r="J152" s="24"/>
    </row>
    <row r="153" spans="1:10" s="14" customFormat="1" x14ac:dyDescent="0.3">
      <c r="A153" s="79" t="s">
        <v>330</v>
      </c>
      <c r="B153" s="97" t="s">
        <v>331</v>
      </c>
      <c r="C153" s="47"/>
      <c r="D153" s="17"/>
      <c r="E153" s="16"/>
      <c r="F153" s="23"/>
      <c r="G153" s="17">
        <v>1335.403</v>
      </c>
      <c r="H153" s="17">
        <v>3043.9879999999998</v>
      </c>
      <c r="I153" s="16">
        <f t="shared" si="21"/>
        <v>1708.5849999999998</v>
      </c>
      <c r="J153" s="28" t="s">
        <v>468</v>
      </c>
    </row>
    <row r="154" spans="1:10" s="14" customFormat="1" ht="37.5" x14ac:dyDescent="0.2">
      <c r="A154" s="79" t="s">
        <v>320</v>
      </c>
      <c r="B154" s="20" t="s">
        <v>319</v>
      </c>
      <c r="C154" s="47"/>
      <c r="D154" s="17"/>
      <c r="E154" s="16"/>
      <c r="F154" s="23"/>
      <c r="G154" s="17"/>
      <c r="H154" s="17">
        <v>16661.2</v>
      </c>
      <c r="I154" s="16">
        <f t="shared" si="21"/>
        <v>16661.2</v>
      </c>
      <c r="J154" s="24"/>
    </row>
    <row r="155" spans="1:10" s="14" customFormat="1" ht="37.5" x14ac:dyDescent="0.2">
      <c r="A155" s="79" t="s">
        <v>332</v>
      </c>
      <c r="B155" s="20" t="s">
        <v>333</v>
      </c>
      <c r="C155" s="47"/>
      <c r="D155" s="17">
        <v>39859.112999999998</v>
      </c>
      <c r="E155" s="16">
        <f t="shared" ref="E155" si="22">SUM(D155-C155)</f>
        <v>39859.112999999998</v>
      </c>
      <c r="F155" s="23">
        <v>100</v>
      </c>
      <c r="G155" s="17"/>
      <c r="H155" s="17"/>
      <c r="I155" s="16"/>
      <c r="J155" s="24"/>
    </row>
    <row r="156" spans="1:10" s="14" customFormat="1" ht="56.25" x14ac:dyDescent="0.2">
      <c r="A156" s="79" t="s">
        <v>439</v>
      </c>
      <c r="B156" s="20" t="s">
        <v>440</v>
      </c>
      <c r="C156" s="47"/>
      <c r="D156" s="17"/>
      <c r="E156" s="16"/>
      <c r="F156" s="23"/>
      <c r="G156" s="17"/>
      <c r="H156" s="17">
        <v>523.55999999999995</v>
      </c>
      <c r="I156" s="16">
        <f>SUM(H156-G156)</f>
        <v>523.55999999999995</v>
      </c>
      <c r="J156" s="24"/>
    </row>
    <row r="157" spans="1:10" ht="20.25" x14ac:dyDescent="0.2">
      <c r="A157" s="77" t="s">
        <v>35</v>
      </c>
      <c r="B157" s="78" t="s">
        <v>7</v>
      </c>
      <c r="C157" s="48">
        <f>SUM(C158:C160)+C161+C163</f>
        <v>81251.545840000006</v>
      </c>
      <c r="D157" s="48">
        <f>SUM(D158:D160)+D161+D163</f>
        <v>109640.66204999998</v>
      </c>
      <c r="E157" s="48">
        <f t="shared" ref="E157:E160" si="23">SUM(D157-C157)</f>
        <v>28389.116209999978</v>
      </c>
      <c r="F157" s="76">
        <f t="shared" ref="F157:F160" si="24">SUM(D157/C157*100)</f>
        <v>134.93978596530783</v>
      </c>
      <c r="G157" s="48">
        <f>SUM(G158:G160)+G161+G163+G165</f>
        <v>48509.284259999993</v>
      </c>
      <c r="H157" s="48">
        <f>SUM(H158:H160)+H161+H163+H165</f>
        <v>67900.579000000012</v>
      </c>
      <c r="I157" s="48">
        <f>SUM(H157-G157)</f>
        <v>19391.294740000019</v>
      </c>
      <c r="J157" s="76">
        <f>SUM(H157/G157*100)</f>
        <v>139.97439878944945</v>
      </c>
    </row>
    <row r="158" spans="1:10" x14ac:dyDescent="0.3">
      <c r="A158" s="79" t="s">
        <v>36</v>
      </c>
      <c r="B158" s="80" t="s">
        <v>37</v>
      </c>
      <c r="C158" s="17">
        <v>58424.435340000004</v>
      </c>
      <c r="D158" s="18">
        <v>73245.359639999995</v>
      </c>
      <c r="E158" s="16">
        <f t="shared" si="23"/>
        <v>14820.924299999991</v>
      </c>
      <c r="F158" s="23">
        <f t="shared" si="24"/>
        <v>125.36768085776076</v>
      </c>
      <c r="G158" s="17">
        <f>41245.67926+1359.498</f>
        <v>42605.177259999997</v>
      </c>
      <c r="H158" s="18">
        <f>6468.449+50419.61467</f>
        <v>56888.063670000003</v>
      </c>
      <c r="I158" s="16">
        <f>SUM(H158-G158)</f>
        <v>14282.886410000006</v>
      </c>
      <c r="J158" s="28">
        <f>SUM(H158/G158*100)</f>
        <v>133.52382815552687</v>
      </c>
    </row>
    <row r="159" spans="1:10" x14ac:dyDescent="0.3">
      <c r="A159" s="79" t="s">
        <v>92</v>
      </c>
      <c r="B159" s="81" t="s">
        <v>116</v>
      </c>
      <c r="C159" s="17">
        <v>4122.8588900000004</v>
      </c>
      <c r="D159" s="18">
        <v>16881.126270000001</v>
      </c>
      <c r="E159" s="16">
        <f t="shared" si="23"/>
        <v>12758.267380000001</v>
      </c>
      <c r="F159" s="28" t="s">
        <v>469</v>
      </c>
      <c r="G159" s="16">
        <f>4025.1+390.021</f>
        <v>4415.1210000000001</v>
      </c>
      <c r="H159" s="18">
        <f>6849.073+1717.79858</f>
        <v>8566.8715800000009</v>
      </c>
      <c r="I159" s="16">
        <f>SUM(H159-G159)</f>
        <v>4151.7505800000008</v>
      </c>
      <c r="J159" s="28" t="s">
        <v>356</v>
      </c>
    </row>
    <row r="160" spans="1:10" x14ac:dyDescent="0.3">
      <c r="A160" s="79" t="s">
        <v>93</v>
      </c>
      <c r="B160" s="82" t="s">
        <v>169</v>
      </c>
      <c r="C160" s="17">
        <v>316.06061</v>
      </c>
      <c r="D160" s="18">
        <v>0</v>
      </c>
      <c r="E160" s="16">
        <f t="shared" si="23"/>
        <v>-316.06061</v>
      </c>
      <c r="F160" s="23">
        <f t="shared" si="24"/>
        <v>0</v>
      </c>
      <c r="G160" s="17"/>
      <c r="H160" s="16"/>
      <c r="I160" s="16"/>
      <c r="J160" s="23"/>
    </row>
    <row r="161" spans="1:10" x14ac:dyDescent="0.3">
      <c r="A161" s="79" t="s">
        <v>94</v>
      </c>
      <c r="B161" s="82" t="s">
        <v>170</v>
      </c>
      <c r="C161" s="17">
        <f>SUM(C162)</f>
        <v>15853.444</v>
      </c>
      <c r="D161" s="17">
        <f>SUM(D162)</f>
        <v>17411.87414</v>
      </c>
      <c r="E161" s="16">
        <f t="shared" ref="E161:E164" si="25">SUM(D161-C161)</f>
        <v>1558.4301400000004</v>
      </c>
      <c r="F161" s="23">
        <f t="shared" ref="F161:F164" si="26">SUM(D161/C161*100)</f>
        <v>109.83023083186214</v>
      </c>
      <c r="G161" s="17"/>
      <c r="H161" s="17">
        <f>H162</f>
        <v>2170.14275</v>
      </c>
      <c r="I161" s="16">
        <f>SUM(H161-G161)</f>
        <v>2170.14275</v>
      </c>
      <c r="J161" s="23"/>
    </row>
    <row r="162" spans="1:10" ht="37.5" x14ac:dyDescent="0.3">
      <c r="A162" s="79" t="s">
        <v>95</v>
      </c>
      <c r="B162" s="82" t="s">
        <v>117</v>
      </c>
      <c r="C162" s="17">
        <f>15839.863+13.581</f>
        <v>15853.444</v>
      </c>
      <c r="D162" s="17">
        <f>16423.187+988.68714</f>
        <v>17411.87414</v>
      </c>
      <c r="E162" s="16">
        <f t="shared" si="25"/>
        <v>1558.4301400000004</v>
      </c>
      <c r="F162" s="23">
        <f t="shared" si="26"/>
        <v>109.83023083186214</v>
      </c>
      <c r="G162" s="17"/>
      <c r="H162" s="17">
        <v>2170.14275</v>
      </c>
      <c r="I162" s="16">
        <f>SUM(H162-G162)</f>
        <v>2170.14275</v>
      </c>
      <c r="J162" s="23"/>
    </row>
    <row r="163" spans="1:10" x14ac:dyDescent="0.3">
      <c r="A163" s="79" t="s">
        <v>96</v>
      </c>
      <c r="B163" s="82" t="s">
        <v>118</v>
      </c>
      <c r="C163" s="17">
        <f>SUM(C164:C164)</f>
        <v>2534.7469999999998</v>
      </c>
      <c r="D163" s="17">
        <f>SUM(D164:D164)</f>
        <v>2102.3020000000001</v>
      </c>
      <c r="E163" s="16">
        <f t="shared" si="25"/>
        <v>-432.44499999999971</v>
      </c>
      <c r="F163" s="23">
        <f t="shared" si="26"/>
        <v>82.939322938344546</v>
      </c>
      <c r="G163" s="17"/>
      <c r="H163" s="17"/>
      <c r="I163" s="16"/>
      <c r="J163" s="23"/>
    </row>
    <row r="164" spans="1:10" x14ac:dyDescent="0.3">
      <c r="A164" s="79" t="s">
        <v>97</v>
      </c>
      <c r="B164" s="82" t="s">
        <v>119</v>
      </c>
      <c r="C164" s="17">
        <v>2534.7469999999998</v>
      </c>
      <c r="D164" s="18">
        <v>2102.3020000000001</v>
      </c>
      <c r="E164" s="16">
        <f t="shared" si="25"/>
        <v>-432.44499999999971</v>
      </c>
      <c r="F164" s="23">
        <f t="shared" si="26"/>
        <v>82.939322938344546</v>
      </c>
      <c r="G164" s="17"/>
      <c r="H164" s="17"/>
      <c r="I164" s="16"/>
      <c r="J164" s="23"/>
    </row>
    <row r="165" spans="1:10" x14ac:dyDescent="0.3">
      <c r="A165" s="79" t="s">
        <v>361</v>
      </c>
      <c r="B165" s="97" t="s">
        <v>363</v>
      </c>
      <c r="C165" s="17"/>
      <c r="D165" s="17"/>
      <c r="E165" s="16"/>
      <c r="F165" s="23"/>
      <c r="G165" s="17">
        <v>1488.9860000000001</v>
      </c>
      <c r="H165" s="17">
        <v>275.50099999999998</v>
      </c>
      <c r="I165" s="16">
        <f>SUM(H165-G165)</f>
        <v>-1213.4850000000001</v>
      </c>
      <c r="J165" s="23">
        <f t="shared" ref="J165" si="27">SUM(H165/G165*100)</f>
        <v>18.502591696631125</v>
      </c>
    </row>
    <row r="166" spans="1:10" ht="37.5" x14ac:dyDescent="0.2">
      <c r="A166" s="79" t="s">
        <v>444</v>
      </c>
      <c r="B166" s="106" t="s">
        <v>445</v>
      </c>
      <c r="C166" s="17"/>
      <c r="D166" s="18"/>
      <c r="E166" s="16"/>
      <c r="F166" s="23"/>
      <c r="G166" s="17"/>
      <c r="H166" s="17"/>
      <c r="I166" s="16"/>
      <c r="J166" s="24"/>
    </row>
    <row r="167" spans="1:10" ht="20.25" x14ac:dyDescent="0.2">
      <c r="A167" s="85" t="s">
        <v>38</v>
      </c>
      <c r="B167" s="86" t="s">
        <v>8</v>
      </c>
      <c r="C167" s="45">
        <f>C168+C171+C173+C180+C187+C188+C190+C194+C200+C172+C186+C184+C176+C195</f>
        <v>138243.489</v>
      </c>
      <c r="D167" s="45">
        <f>D168+D171+D173+D180+D187+D188+D190+D194+D200+D172+D186+D184+D176+D195</f>
        <v>166030.57800000001</v>
      </c>
      <c r="E167" s="45">
        <f>SUM(D167-C167)</f>
        <v>27787.089000000007</v>
      </c>
      <c r="F167" s="46">
        <f>SUM(D167/C167*100)</f>
        <v>120.10010684843175</v>
      </c>
      <c r="G167" s="45">
        <f>G168+G171+G173+G180+G187+G188+G190+G194+G200+G172+G186+G184+G176+G195</f>
        <v>64207.252</v>
      </c>
      <c r="H167" s="45">
        <f>H168+H171+H173+H180+H187+H188+H190+H194+H200+H172+H186+H184+H176+H195</f>
        <v>96698.019</v>
      </c>
      <c r="I167" s="45">
        <f>SUM(H167-G167)</f>
        <v>32490.767</v>
      </c>
      <c r="J167" s="46" t="s">
        <v>499</v>
      </c>
    </row>
    <row r="168" spans="1:10" ht="37.5" x14ac:dyDescent="0.2">
      <c r="A168" s="30" t="s">
        <v>39</v>
      </c>
      <c r="B168" s="67" t="s">
        <v>153</v>
      </c>
      <c r="C168" s="31">
        <f>SUM(C169:C170)</f>
        <v>43750.894</v>
      </c>
      <c r="D168" s="31">
        <f>SUM(D169:D170)</f>
        <v>43977.830999999998</v>
      </c>
      <c r="E168" s="27">
        <f t="shared" ref="E168" si="28">SUM(D168-C168)</f>
        <v>226.93699999999808</v>
      </c>
      <c r="F168" s="28">
        <f t="shared" ref="F168:F170" si="29">SUM(D168/C168*100)</f>
        <v>100.51870254354117</v>
      </c>
      <c r="G168" s="31"/>
      <c r="H168" s="31"/>
      <c r="I168" s="27"/>
      <c r="J168" s="29"/>
    </row>
    <row r="169" spans="1:10" x14ac:dyDescent="0.2">
      <c r="A169" s="30" t="s">
        <v>40</v>
      </c>
      <c r="B169" s="67" t="s">
        <v>174</v>
      </c>
      <c r="C169" s="31">
        <v>48.057000000000002</v>
      </c>
      <c r="D169" s="75">
        <v>48.466000000000001</v>
      </c>
      <c r="E169" s="27">
        <f t="shared" ref="E169:E201" si="30">SUM(D169-C169)</f>
        <v>0.40899999999999892</v>
      </c>
      <c r="F169" s="28">
        <f t="shared" si="29"/>
        <v>100.85107268452047</v>
      </c>
      <c r="G169" s="31"/>
      <c r="H169" s="31"/>
      <c r="I169" s="27"/>
      <c r="J169" s="29"/>
    </row>
    <row r="170" spans="1:10" ht="37.5" x14ac:dyDescent="0.2">
      <c r="A170" s="30" t="s">
        <v>41</v>
      </c>
      <c r="B170" s="87" t="s">
        <v>12</v>
      </c>
      <c r="C170" s="31">
        <v>43702.837</v>
      </c>
      <c r="D170" s="31">
        <f>4855.128+39074.237</f>
        <v>43929.364999999998</v>
      </c>
      <c r="E170" s="27">
        <f t="shared" si="30"/>
        <v>226.52799999999843</v>
      </c>
      <c r="F170" s="28">
        <f t="shared" si="29"/>
        <v>100.51833705898771</v>
      </c>
      <c r="G170" s="31"/>
      <c r="H170" s="31"/>
      <c r="I170" s="27"/>
      <c r="J170" s="29"/>
    </row>
    <row r="171" spans="1:10" x14ac:dyDescent="0.2">
      <c r="A171" s="25" t="s">
        <v>42</v>
      </c>
      <c r="B171" s="84" t="s">
        <v>49</v>
      </c>
      <c r="C171" s="31">
        <v>478.48700000000002</v>
      </c>
      <c r="D171" s="75">
        <v>516.09900000000005</v>
      </c>
      <c r="E171" s="27">
        <f t="shared" si="30"/>
        <v>37.612000000000023</v>
      </c>
      <c r="F171" s="28">
        <f t="shared" ref="F171:F192" si="31">SUM(D171/C171*100)</f>
        <v>107.86061063309975</v>
      </c>
      <c r="G171" s="31"/>
      <c r="H171" s="31"/>
      <c r="I171" s="27"/>
      <c r="J171" s="29"/>
    </row>
    <row r="172" spans="1:10" x14ac:dyDescent="0.2">
      <c r="A172" s="30" t="s">
        <v>43</v>
      </c>
      <c r="B172" s="88" t="s">
        <v>154</v>
      </c>
      <c r="C172" s="31">
        <v>189.453</v>
      </c>
      <c r="D172" s="75">
        <v>155.82599999999999</v>
      </c>
      <c r="E172" s="27">
        <f t="shared" ref="E172" si="32">SUM(D172-C172)</f>
        <v>-33.62700000000001</v>
      </c>
      <c r="F172" s="28">
        <f t="shared" si="31"/>
        <v>82.250479010625327</v>
      </c>
      <c r="G172" s="31"/>
      <c r="H172" s="31"/>
      <c r="I172" s="27"/>
      <c r="J172" s="29"/>
    </row>
    <row r="173" spans="1:10" ht="37.5" x14ac:dyDescent="0.2">
      <c r="A173" s="30" t="s">
        <v>44</v>
      </c>
      <c r="B173" s="88" t="s">
        <v>155</v>
      </c>
      <c r="C173" s="31">
        <f>C174+C175</f>
        <v>36133.233999999997</v>
      </c>
      <c r="D173" s="31">
        <f>D174+D175</f>
        <v>38575.058000000005</v>
      </c>
      <c r="E173" s="27">
        <f t="shared" si="30"/>
        <v>2441.8240000000078</v>
      </c>
      <c r="F173" s="28">
        <f t="shared" si="31"/>
        <v>106.75783407596455</v>
      </c>
      <c r="G173" s="31">
        <f>G174+G175</f>
        <v>6896.8319999999994</v>
      </c>
      <c r="H173" s="31">
        <f>H174+H175</f>
        <v>19180.643</v>
      </c>
      <c r="I173" s="27">
        <f>SUM(H173-G173)</f>
        <v>12283.811000000002</v>
      </c>
      <c r="J173" s="28" t="s">
        <v>338</v>
      </c>
    </row>
    <row r="174" spans="1:10" ht="37.5" x14ac:dyDescent="0.2">
      <c r="A174" s="30" t="s">
        <v>45</v>
      </c>
      <c r="B174" s="88" t="s">
        <v>50</v>
      </c>
      <c r="C174" s="31">
        <v>29530.036</v>
      </c>
      <c r="D174" s="31">
        <v>30625.737000000001</v>
      </c>
      <c r="E174" s="27">
        <f t="shared" si="30"/>
        <v>1095.7010000000009</v>
      </c>
      <c r="F174" s="28">
        <f t="shared" si="31"/>
        <v>103.71046279794581</v>
      </c>
      <c r="G174" s="31">
        <v>6776.5389999999998</v>
      </c>
      <c r="H174" s="27">
        <v>11580.232</v>
      </c>
      <c r="I174" s="27">
        <f>SUM(H174-G174)</f>
        <v>4803.6930000000002</v>
      </c>
      <c r="J174" s="28" t="s">
        <v>500</v>
      </c>
    </row>
    <row r="175" spans="1:10" x14ac:dyDescent="0.2">
      <c r="A175" s="30" t="s">
        <v>46</v>
      </c>
      <c r="B175" s="88" t="s">
        <v>156</v>
      </c>
      <c r="C175" s="31">
        <v>6603.1980000000003</v>
      </c>
      <c r="D175" s="75">
        <f>7941.428+7.893</f>
        <v>7949.3209999999999</v>
      </c>
      <c r="E175" s="27">
        <f t="shared" ref="E175" si="33">SUM(D175-C175)</f>
        <v>1346.1229999999996</v>
      </c>
      <c r="F175" s="28">
        <f t="shared" si="31"/>
        <v>120.385925122948</v>
      </c>
      <c r="G175" s="31">
        <v>120.29300000000001</v>
      </c>
      <c r="H175" s="27">
        <f>7600.411</f>
        <v>7600.4110000000001</v>
      </c>
      <c r="I175" s="27">
        <f>SUM(H175-G175)</f>
        <v>7480.1180000000004</v>
      </c>
      <c r="J175" s="28" t="s">
        <v>470</v>
      </c>
    </row>
    <row r="176" spans="1:10" x14ac:dyDescent="0.2">
      <c r="A176" s="30" t="s">
        <v>368</v>
      </c>
      <c r="B176" s="88" t="s">
        <v>370</v>
      </c>
      <c r="C176" s="31">
        <f>C177+C178+C179</f>
        <v>31.529</v>
      </c>
      <c r="D176" s="75">
        <f>SUM(D179)</f>
        <v>119.36499999999999</v>
      </c>
      <c r="E176" s="27">
        <f t="shared" ref="E176" si="34">SUM(D176-C176)</f>
        <v>87.835999999999999</v>
      </c>
      <c r="F176" s="28" t="s">
        <v>491</v>
      </c>
      <c r="G176" s="31"/>
      <c r="H176" s="27"/>
      <c r="I176" s="27"/>
      <c r="J176" s="28"/>
    </row>
    <row r="177" spans="1:10" ht="56.25" x14ac:dyDescent="0.2">
      <c r="A177" s="30" t="s">
        <v>419</v>
      </c>
      <c r="B177" s="88" t="s">
        <v>421</v>
      </c>
      <c r="C177" s="31">
        <v>29.533999999999999</v>
      </c>
      <c r="D177" s="75"/>
      <c r="E177" s="27">
        <f>SUM(D177-C177)</f>
        <v>-29.533999999999999</v>
      </c>
      <c r="F177" s="28">
        <f t="shared" si="31"/>
        <v>0</v>
      </c>
      <c r="G177" s="31"/>
      <c r="H177" s="27"/>
      <c r="I177" s="27"/>
      <c r="J177" s="28"/>
    </row>
    <row r="178" spans="1:10" x14ac:dyDescent="0.2">
      <c r="A178" s="30" t="s">
        <v>420</v>
      </c>
      <c r="B178" s="88" t="s">
        <v>422</v>
      </c>
      <c r="C178" s="31">
        <v>1.9950000000000001</v>
      </c>
      <c r="D178" s="75"/>
      <c r="E178" s="27">
        <f>SUM(D178-C178)</f>
        <v>-1.9950000000000001</v>
      </c>
      <c r="F178" s="28">
        <f t="shared" si="31"/>
        <v>0</v>
      </c>
      <c r="G178" s="31"/>
      <c r="H178" s="27"/>
      <c r="I178" s="27"/>
      <c r="J178" s="28"/>
    </row>
    <row r="179" spans="1:10" ht="37.5" x14ac:dyDescent="0.2">
      <c r="A179" s="30" t="s">
        <v>369</v>
      </c>
      <c r="B179" s="88" t="s">
        <v>371</v>
      </c>
      <c r="C179" s="31"/>
      <c r="D179" s="54">
        <f>90.57+28.795</f>
        <v>119.36499999999999</v>
      </c>
      <c r="E179" s="27">
        <f t="shared" ref="E179" si="35">SUM(D179-C179)</f>
        <v>119.36499999999999</v>
      </c>
      <c r="F179" s="28"/>
      <c r="G179" s="31"/>
      <c r="H179" s="27"/>
      <c r="I179" s="27"/>
      <c r="J179" s="28"/>
    </row>
    <row r="180" spans="1:10" x14ac:dyDescent="0.2">
      <c r="A180" s="30" t="s">
        <v>98</v>
      </c>
      <c r="B180" s="88" t="s">
        <v>51</v>
      </c>
      <c r="C180" s="31">
        <f>C181+C183</f>
        <v>4309.1229999999996</v>
      </c>
      <c r="D180" s="31">
        <f>D181+D183+D182</f>
        <v>4933.0259999999998</v>
      </c>
      <c r="E180" s="27">
        <f t="shared" ref="E180:E181" si="36">SUM(D180-C180)</f>
        <v>623.90300000000025</v>
      </c>
      <c r="F180" s="28">
        <f t="shared" si="31"/>
        <v>114.47865377711427</v>
      </c>
      <c r="G180" s="31">
        <f>G181+G183</f>
        <v>202.89699999999999</v>
      </c>
      <c r="H180" s="31">
        <f>H181+H183</f>
        <v>2539.652</v>
      </c>
      <c r="I180" s="27">
        <f>SUM(H180-G180)</f>
        <v>2336.7550000000001</v>
      </c>
      <c r="J180" s="28" t="s">
        <v>471</v>
      </c>
    </row>
    <row r="181" spans="1:10" ht="56.25" x14ac:dyDescent="0.2">
      <c r="A181" s="30" t="s">
        <v>99</v>
      </c>
      <c r="B181" s="88" t="s">
        <v>433</v>
      </c>
      <c r="C181" s="31">
        <v>2851.5540000000001</v>
      </c>
      <c r="D181" s="75">
        <v>2698.7530000000002</v>
      </c>
      <c r="E181" s="27">
        <f t="shared" si="36"/>
        <v>-152.80099999999993</v>
      </c>
      <c r="F181" s="28">
        <f t="shared" si="31"/>
        <v>94.641483205297888</v>
      </c>
      <c r="G181" s="31"/>
      <c r="H181" s="27">
        <v>87.134</v>
      </c>
      <c r="I181" s="27">
        <f>SUM(H181-G181)</f>
        <v>87.134</v>
      </c>
      <c r="J181" s="28"/>
    </row>
    <row r="182" spans="1:10" x14ac:dyDescent="0.2">
      <c r="A182" s="30" t="s">
        <v>378</v>
      </c>
      <c r="B182" s="88" t="s">
        <v>379</v>
      </c>
      <c r="C182" s="31"/>
      <c r="D182" s="75">
        <v>69.2</v>
      </c>
      <c r="E182" s="27">
        <f>SUM(D182-C182)</f>
        <v>69.2</v>
      </c>
      <c r="F182" s="28"/>
      <c r="G182" s="31"/>
      <c r="H182" s="27"/>
      <c r="I182" s="27"/>
      <c r="J182" s="28"/>
    </row>
    <row r="183" spans="1:10" ht="37.5" x14ac:dyDescent="0.2">
      <c r="A183" s="30" t="s">
        <v>264</v>
      </c>
      <c r="B183" s="88" t="s">
        <v>434</v>
      </c>
      <c r="C183" s="31">
        <v>1457.569</v>
      </c>
      <c r="D183" s="31">
        <v>2165.0729999999999</v>
      </c>
      <c r="E183" s="27">
        <f t="shared" ref="E183" si="37">SUM(D183-C183)</f>
        <v>707.50399999999991</v>
      </c>
      <c r="F183" s="28">
        <f t="shared" si="31"/>
        <v>148.54000050769466</v>
      </c>
      <c r="G183" s="31">
        <v>202.89699999999999</v>
      </c>
      <c r="H183" s="27">
        <v>2452.518</v>
      </c>
      <c r="I183" s="27">
        <f>SUM(H183-G183)</f>
        <v>2249.6210000000001</v>
      </c>
      <c r="J183" s="28" t="s">
        <v>472</v>
      </c>
    </row>
    <row r="184" spans="1:10" ht="37.5" x14ac:dyDescent="0.2">
      <c r="A184" s="30" t="s">
        <v>372</v>
      </c>
      <c r="B184" s="88" t="s">
        <v>375</v>
      </c>
      <c r="C184" s="31">
        <f>C185</f>
        <v>105.77200000000001</v>
      </c>
      <c r="D184" s="31">
        <f>D185</f>
        <v>116.19199999999999</v>
      </c>
      <c r="E184" s="27">
        <f>SUM(D184-C184)</f>
        <v>10.419999999999987</v>
      </c>
      <c r="F184" s="28">
        <f t="shared" si="31"/>
        <v>109.85137843663728</v>
      </c>
      <c r="G184" s="31">
        <f>G185</f>
        <v>0</v>
      </c>
      <c r="H184" s="31">
        <f>H185</f>
        <v>767.2</v>
      </c>
      <c r="I184" s="27">
        <f>SUM(H184-G184)</f>
        <v>767.2</v>
      </c>
      <c r="J184" s="28"/>
    </row>
    <row r="185" spans="1:10" ht="37.5" x14ac:dyDescent="0.2">
      <c r="A185" s="30" t="s">
        <v>373</v>
      </c>
      <c r="B185" s="88" t="s">
        <v>377</v>
      </c>
      <c r="C185" s="31">
        <v>105.77200000000001</v>
      </c>
      <c r="D185" s="31">
        <v>116.19199999999999</v>
      </c>
      <c r="E185" s="27">
        <f>SUM(D185-C185)</f>
        <v>10.419999999999987</v>
      </c>
      <c r="F185" s="28">
        <f t="shared" si="31"/>
        <v>109.85137843663728</v>
      </c>
      <c r="G185" s="31"/>
      <c r="H185" s="27">
        <v>767.2</v>
      </c>
      <c r="I185" s="27">
        <f>SUM(H185-G185)</f>
        <v>767.2</v>
      </c>
      <c r="J185" s="28"/>
    </row>
    <row r="186" spans="1:10" ht="56.25" x14ac:dyDescent="0.2">
      <c r="A186" s="30" t="s">
        <v>374</v>
      </c>
      <c r="B186" s="88" t="s">
        <v>376</v>
      </c>
      <c r="C186" s="31">
        <v>8463.35</v>
      </c>
      <c r="D186" s="31">
        <v>16383.36</v>
      </c>
      <c r="E186" s="27">
        <f>SUM(D186-C186)</f>
        <v>7920.01</v>
      </c>
      <c r="F186" s="28" t="s">
        <v>356</v>
      </c>
      <c r="G186" s="31"/>
      <c r="H186" s="27"/>
      <c r="I186" s="27"/>
      <c r="J186" s="28"/>
    </row>
    <row r="187" spans="1:10" ht="56.25" x14ac:dyDescent="0.2">
      <c r="A187" s="25" t="s">
        <v>86</v>
      </c>
      <c r="B187" s="67" t="s">
        <v>157</v>
      </c>
      <c r="C187" s="31">
        <v>8504.4369999999999</v>
      </c>
      <c r="D187" s="31">
        <v>9278.125</v>
      </c>
      <c r="E187" s="27">
        <f t="shared" si="30"/>
        <v>773.6880000000001</v>
      </c>
      <c r="F187" s="28">
        <f t="shared" si="31"/>
        <v>109.09746288907778</v>
      </c>
      <c r="G187" s="31"/>
      <c r="H187" s="31"/>
      <c r="I187" s="27"/>
      <c r="J187" s="29"/>
    </row>
    <row r="188" spans="1:10" x14ac:dyDescent="0.2">
      <c r="A188" s="89" t="s">
        <v>100</v>
      </c>
      <c r="B188" s="88" t="s">
        <v>158</v>
      </c>
      <c r="C188" s="31">
        <f>C189</f>
        <v>127.01900000000001</v>
      </c>
      <c r="D188" s="31">
        <f>D189</f>
        <v>253.34200000000001</v>
      </c>
      <c r="E188" s="27">
        <f t="shared" si="30"/>
        <v>126.32300000000001</v>
      </c>
      <c r="F188" s="28" t="s">
        <v>328</v>
      </c>
      <c r="G188" s="31"/>
      <c r="H188" s="31"/>
      <c r="I188" s="27"/>
      <c r="J188" s="29"/>
    </row>
    <row r="189" spans="1:10" ht="37.5" x14ac:dyDescent="0.2">
      <c r="A189" s="89" t="s">
        <v>101</v>
      </c>
      <c r="B189" s="88" t="s">
        <v>167</v>
      </c>
      <c r="C189" s="31">
        <v>127.01900000000001</v>
      </c>
      <c r="D189" s="31">
        <v>253.34200000000001</v>
      </c>
      <c r="E189" s="27">
        <f t="shared" si="30"/>
        <v>126.32300000000001</v>
      </c>
      <c r="F189" s="28" t="s">
        <v>328</v>
      </c>
      <c r="G189" s="31"/>
      <c r="H189" s="31"/>
      <c r="I189" s="27"/>
      <c r="J189" s="29"/>
    </row>
    <row r="190" spans="1:10" x14ac:dyDescent="0.2">
      <c r="A190" s="89" t="s">
        <v>47</v>
      </c>
      <c r="B190" s="88" t="s">
        <v>52</v>
      </c>
      <c r="C190" s="31">
        <f>C191+C192</f>
        <v>14402.088000000002</v>
      </c>
      <c r="D190" s="31">
        <f>D191+D192+D193</f>
        <v>23439.080999999998</v>
      </c>
      <c r="E190" s="27">
        <f t="shared" si="30"/>
        <v>9036.9929999999968</v>
      </c>
      <c r="F190" s="28" t="s">
        <v>396</v>
      </c>
      <c r="G190" s="31"/>
      <c r="H190" s="31"/>
      <c r="I190" s="31"/>
      <c r="J190" s="29"/>
    </row>
    <row r="191" spans="1:10" x14ac:dyDescent="0.2">
      <c r="A191" s="25" t="s">
        <v>102</v>
      </c>
      <c r="B191" s="88" t="s">
        <v>282</v>
      </c>
      <c r="C191" s="31">
        <f>1112.978+12188.973</f>
        <v>13301.951000000001</v>
      </c>
      <c r="D191" s="31">
        <f>2100.923+18801.295</f>
        <v>20902.217999999997</v>
      </c>
      <c r="E191" s="27">
        <f t="shared" si="30"/>
        <v>7600.2669999999962</v>
      </c>
      <c r="F191" s="28" t="s">
        <v>396</v>
      </c>
      <c r="G191" s="31"/>
      <c r="H191" s="31"/>
      <c r="I191" s="27"/>
      <c r="J191" s="29"/>
    </row>
    <row r="192" spans="1:10" ht="37.5" x14ac:dyDescent="0.2">
      <c r="A192" s="25" t="s">
        <v>103</v>
      </c>
      <c r="B192" s="67" t="s">
        <v>281</v>
      </c>
      <c r="C192" s="31">
        <v>1100.1369999999999</v>
      </c>
      <c r="D192" s="31">
        <v>1174.575</v>
      </c>
      <c r="E192" s="27">
        <f t="shared" si="30"/>
        <v>74.438000000000102</v>
      </c>
      <c r="F192" s="28">
        <f t="shared" si="31"/>
        <v>106.76624820363283</v>
      </c>
      <c r="G192" s="31"/>
      <c r="H192" s="31"/>
      <c r="I192" s="27"/>
      <c r="J192" s="29"/>
    </row>
    <row r="193" spans="1:10" ht="56.25" x14ac:dyDescent="0.2">
      <c r="A193" s="25" t="s">
        <v>354</v>
      </c>
      <c r="B193" s="90" t="s">
        <v>355</v>
      </c>
      <c r="C193" s="31"/>
      <c r="D193" s="31">
        <f>1298.515+63.773</f>
        <v>1362.288</v>
      </c>
      <c r="E193" s="27">
        <f t="shared" ref="E193" si="38">SUM(D193-C193)</f>
        <v>1362.288</v>
      </c>
      <c r="F193" s="28"/>
      <c r="G193" s="31"/>
      <c r="H193" s="31"/>
      <c r="I193" s="27"/>
      <c r="J193" s="29"/>
    </row>
    <row r="194" spans="1:10" x14ac:dyDescent="0.2">
      <c r="A194" s="25" t="s">
        <v>104</v>
      </c>
      <c r="B194" s="67" t="s">
        <v>180</v>
      </c>
      <c r="C194" s="31"/>
      <c r="D194" s="31"/>
      <c r="E194" s="27"/>
      <c r="F194" s="28"/>
      <c r="G194" s="31">
        <v>1668.712</v>
      </c>
      <c r="H194" s="31">
        <v>951.70699999999999</v>
      </c>
      <c r="I194" s="27">
        <f t="shared" ref="I194:I201" si="39">SUM(H194-G194)</f>
        <v>-717.005</v>
      </c>
      <c r="J194" s="28">
        <f t="shared" ref="J194:J204" si="40">SUM(H194/G194*100)</f>
        <v>57.032429802146801</v>
      </c>
    </row>
    <row r="195" spans="1:10" ht="37.5" x14ac:dyDescent="0.2">
      <c r="A195" s="25" t="s">
        <v>423</v>
      </c>
      <c r="B195" s="67" t="s">
        <v>427</v>
      </c>
      <c r="C195" s="31"/>
      <c r="D195" s="31"/>
      <c r="E195" s="27"/>
      <c r="F195" s="28"/>
      <c r="G195" s="31">
        <f>G196+G197+G198+G199</f>
        <v>53677.968000000001</v>
      </c>
      <c r="H195" s="31">
        <f>H196+H197+H198+H199</f>
        <v>62353.262000000002</v>
      </c>
      <c r="I195" s="27">
        <f t="shared" si="39"/>
        <v>8675.2940000000017</v>
      </c>
      <c r="J195" s="28">
        <f t="shared" si="40"/>
        <v>116.16174069778498</v>
      </c>
    </row>
    <row r="196" spans="1:10" ht="206.25" x14ac:dyDescent="0.2">
      <c r="A196" s="25" t="s">
        <v>424</v>
      </c>
      <c r="B196" s="67" t="s">
        <v>428</v>
      </c>
      <c r="C196" s="31"/>
      <c r="D196" s="31"/>
      <c r="E196" s="27"/>
      <c r="F196" s="28"/>
      <c r="G196" s="31">
        <v>30874.633999999998</v>
      </c>
      <c r="H196" s="31"/>
      <c r="I196" s="27">
        <f t="shared" si="39"/>
        <v>-30874.633999999998</v>
      </c>
      <c r="J196" s="28">
        <f t="shared" si="40"/>
        <v>0</v>
      </c>
    </row>
    <row r="197" spans="1:10" ht="206.25" x14ac:dyDescent="0.2">
      <c r="A197" s="25" t="s">
        <v>425</v>
      </c>
      <c r="B197" s="67" t="s">
        <v>429</v>
      </c>
      <c r="C197" s="31"/>
      <c r="D197" s="31"/>
      <c r="E197" s="27"/>
      <c r="F197" s="28"/>
      <c r="G197" s="31">
        <v>20903.54</v>
      </c>
      <c r="H197" s="31"/>
      <c r="I197" s="27">
        <f t="shared" si="39"/>
        <v>-20903.54</v>
      </c>
      <c r="J197" s="28">
        <f t="shared" si="40"/>
        <v>0</v>
      </c>
    </row>
    <row r="198" spans="1:10" ht="131.25" x14ac:dyDescent="0.2">
      <c r="A198" s="25" t="s">
        <v>426</v>
      </c>
      <c r="B198" s="67" t="s">
        <v>430</v>
      </c>
      <c r="C198" s="31"/>
      <c r="D198" s="31"/>
      <c r="E198" s="27"/>
      <c r="F198" s="28"/>
      <c r="G198" s="31">
        <v>1899.7940000000001</v>
      </c>
      <c r="H198" s="31"/>
      <c r="I198" s="27">
        <f t="shared" si="39"/>
        <v>-1899.7940000000001</v>
      </c>
      <c r="J198" s="28">
        <f t="shared" si="40"/>
        <v>0</v>
      </c>
    </row>
    <row r="199" spans="1:10" ht="206.25" x14ac:dyDescent="0.2">
      <c r="A199" s="25" t="s">
        <v>431</v>
      </c>
      <c r="B199" s="67" t="s">
        <v>432</v>
      </c>
      <c r="C199" s="31"/>
      <c r="D199" s="31"/>
      <c r="E199" s="27"/>
      <c r="F199" s="28"/>
      <c r="G199" s="31"/>
      <c r="H199" s="31">
        <v>62353.262000000002</v>
      </c>
      <c r="I199" s="27">
        <f t="shared" si="39"/>
        <v>62353.262000000002</v>
      </c>
      <c r="J199" s="28"/>
    </row>
    <row r="200" spans="1:10" x14ac:dyDescent="0.2">
      <c r="A200" s="25" t="s">
        <v>48</v>
      </c>
      <c r="B200" s="84" t="s">
        <v>160</v>
      </c>
      <c r="C200" s="31">
        <f>C201+C202</f>
        <v>21748.103000000003</v>
      </c>
      <c r="D200" s="31">
        <f>D201+D202</f>
        <v>28283.273000000001</v>
      </c>
      <c r="E200" s="27">
        <f t="shared" si="30"/>
        <v>6535.1699999999983</v>
      </c>
      <c r="F200" s="28">
        <f>SUM(D200/C200*100)</f>
        <v>130.04937947921249</v>
      </c>
      <c r="G200" s="31">
        <f>G201+G202+G203</f>
        <v>1760.8430000000001</v>
      </c>
      <c r="H200" s="31">
        <f>H201+H202+H203</f>
        <v>10905.555</v>
      </c>
      <c r="I200" s="27">
        <f t="shared" si="39"/>
        <v>9144.7119999999995</v>
      </c>
      <c r="J200" s="28" t="s">
        <v>501</v>
      </c>
    </row>
    <row r="201" spans="1:10" ht="37.5" x14ac:dyDescent="0.2">
      <c r="A201" s="25" t="s">
        <v>105</v>
      </c>
      <c r="B201" s="84" t="s">
        <v>435</v>
      </c>
      <c r="C201" s="31">
        <f>3792.707+9730.981</f>
        <v>13523.688</v>
      </c>
      <c r="D201" s="75">
        <f>4221.047+10595.34</f>
        <v>14816.386999999999</v>
      </c>
      <c r="E201" s="27">
        <f t="shared" si="30"/>
        <v>1292.6989999999987</v>
      </c>
      <c r="F201" s="28">
        <f>SUM(D201/C201*100)</f>
        <v>109.5587756830829</v>
      </c>
      <c r="G201" s="31">
        <f>1709.635+51.208</f>
        <v>1760.8430000000001</v>
      </c>
      <c r="H201" s="27">
        <v>2016.3150000000001</v>
      </c>
      <c r="I201" s="27">
        <f t="shared" si="39"/>
        <v>255.47199999999998</v>
      </c>
      <c r="J201" s="28">
        <f t="shared" si="40"/>
        <v>114.50850530115405</v>
      </c>
    </row>
    <row r="202" spans="1:10" x14ac:dyDescent="0.2">
      <c r="A202" s="25" t="s">
        <v>106</v>
      </c>
      <c r="B202" s="84" t="s">
        <v>161</v>
      </c>
      <c r="C202" s="31">
        <f>975.107+6813.908+435.4</f>
        <v>8224.4150000000009</v>
      </c>
      <c r="D202" s="75">
        <f>1135.556+11899.08+432.25</f>
        <v>13466.886</v>
      </c>
      <c r="E202" s="27">
        <f t="shared" ref="E202" si="41">SUM(D202-C202)</f>
        <v>5242.4709999999995</v>
      </c>
      <c r="F202" s="28" t="s">
        <v>396</v>
      </c>
      <c r="G202" s="31"/>
      <c r="H202" s="31">
        <v>399.24</v>
      </c>
      <c r="I202" s="27">
        <f t="shared" ref="I202" si="42">SUM(H202-G202)</f>
        <v>399.24</v>
      </c>
      <c r="J202" s="28"/>
    </row>
    <row r="203" spans="1:10" ht="37.5" x14ac:dyDescent="0.2">
      <c r="A203" s="25" t="s">
        <v>390</v>
      </c>
      <c r="B203" s="91" t="s">
        <v>393</v>
      </c>
      <c r="C203" s="31"/>
      <c r="D203" s="75"/>
      <c r="E203" s="27"/>
      <c r="F203" s="28"/>
      <c r="G203" s="31"/>
      <c r="H203" s="31">
        <v>8490</v>
      </c>
      <c r="I203" s="27">
        <f t="shared" ref="I203:I209" si="43">SUM(H203-G203)</f>
        <v>8490</v>
      </c>
      <c r="J203" s="28"/>
    </row>
    <row r="204" spans="1:10" ht="20.25" x14ac:dyDescent="0.2">
      <c r="A204" s="43" t="s">
        <v>55</v>
      </c>
      <c r="B204" s="86" t="s">
        <v>10</v>
      </c>
      <c r="C204" s="45">
        <f>SUM(C205:C207)</f>
        <v>94452.296000000002</v>
      </c>
      <c r="D204" s="45">
        <f>SUM(D205:D207)</f>
        <v>101740.467</v>
      </c>
      <c r="E204" s="45">
        <f t="shared" ref="E204:E209" si="44">SUM(D204-C204)</f>
        <v>7288.1710000000021</v>
      </c>
      <c r="F204" s="46">
        <f t="shared" ref="F204:F208" si="45">SUM(D204/C204*100)</f>
        <v>107.71624545791877</v>
      </c>
      <c r="G204" s="45">
        <f>SUM(G205:G207)</f>
        <v>3116.5730000000003</v>
      </c>
      <c r="H204" s="45">
        <f>SUM(H205:H207)</f>
        <v>3584.3759999999997</v>
      </c>
      <c r="I204" s="45">
        <f t="shared" si="43"/>
        <v>467.80299999999943</v>
      </c>
      <c r="J204" s="46">
        <f t="shared" si="40"/>
        <v>115.01017303300772</v>
      </c>
    </row>
    <row r="205" spans="1:10" x14ac:dyDescent="0.3">
      <c r="A205" s="30" t="s">
        <v>107</v>
      </c>
      <c r="B205" s="26" t="s">
        <v>120</v>
      </c>
      <c r="C205" s="75">
        <v>30549.064999999999</v>
      </c>
      <c r="D205" s="75">
        <v>30669.559000000001</v>
      </c>
      <c r="E205" s="27">
        <f t="shared" si="44"/>
        <v>120.49400000000242</v>
      </c>
      <c r="F205" s="28">
        <f t="shared" si="45"/>
        <v>100.39442778363265</v>
      </c>
      <c r="G205" s="27">
        <v>1041.6500000000001</v>
      </c>
      <c r="H205" s="27">
        <v>1569.098</v>
      </c>
      <c r="I205" s="27">
        <f t="shared" si="43"/>
        <v>527.44799999999987</v>
      </c>
      <c r="J205" s="28" t="s">
        <v>499</v>
      </c>
    </row>
    <row r="206" spans="1:10" ht="25.5" customHeight="1" x14ac:dyDescent="0.2">
      <c r="A206" s="32" t="s">
        <v>56</v>
      </c>
      <c r="B206" s="74" t="s">
        <v>164</v>
      </c>
      <c r="C206" s="31">
        <v>23676.733</v>
      </c>
      <c r="D206" s="31">
        <v>24690.673999999999</v>
      </c>
      <c r="E206" s="27">
        <f t="shared" si="44"/>
        <v>1013.9409999999989</v>
      </c>
      <c r="F206" s="28">
        <f t="shared" si="45"/>
        <v>104.28243626348279</v>
      </c>
      <c r="G206" s="27">
        <v>1634.0160000000001</v>
      </c>
      <c r="H206" s="27">
        <f>1214.767+254.851</f>
        <v>1469.6179999999999</v>
      </c>
      <c r="I206" s="27">
        <f t="shared" si="43"/>
        <v>-164.39800000000014</v>
      </c>
      <c r="J206" s="28">
        <f>SUM(H206/G206*100)</f>
        <v>89.939021404931154</v>
      </c>
    </row>
    <row r="207" spans="1:10" x14ac:dyDescent="0.3">
      <c r="A207" s="30" t="s">
        <v>108</v>
      </c>
      <c r="B207" s="26" t="s">
        <v>121</v>
      </c>
      <c r="C207" s="31">
        <f>SUM(C208:C211)</f>
        <v>40226.498</v>
      </c>
      <c r="D207" s="31">
        <f>SUM(D208:D211)</f>
        <v>46380.233999999997</v>
      </c>
      <c r="E207" s="27">
        <f t="shared" si="44"/>
        <v>6153.7359999999971</v>
      </c>
      <c r="F207" s="28">
        <f t="shared" si="45"/>
        <v>115.29771743988253</v>
      </c>
      <c r="G207" s="31">
        <f>SUM(G208:G211)</f>
        <v>440.90699999999998</v>
      </c>
      <c r="H207" s="31">
        <f>SUM(H208:H211)</f>
        <v>545.66</v>
      </c>
      <c r="I207" s="27">
        <f t="shared" si="43"/>
        <v>104.75299999999999</v>
      </c>
      <c r="J207" s="28">
        <f>SUM(H207/G207*100)</f>
        <v>123.75852504042801</v>
      </c>
    </row>
    <row r="208" spans="1:10" x14ac:dyDescent="0.3">
      <c r="A208" s="30" t="s">
        <v>109</v>
      </c>
      <c r="B208" s="26" t="s">
        <v>122</v>
      </c>
      <c r="C208" s="75">
        <v>38793.18</v>
      </c>
      <c r="D208" s="75">
        <v>45044.434999999998</v>
      </c>
      <c r="E208" s="27">
        <f t="shared" si="44"/>
        <v>6251.2549999999974</v>
      </c>
      <c r="F208" s="28">
        <f t="shared" si="45"/>
        <v>116.11431442330841</v>
      </c>
      <c r="G208" s="27">
        <v>250.744</v>
      </c>
      <c r="H208" s="27">
        <v>388.84399999999999</v>
      </c>
      <c r="I208" s="27">
        <f t="shared" si="43"/>
        <v>138.1</v>
      </c>
      <c r="J208" s="28" t="s">
        <v>499</v>
      </c>
    </row>
    <row r="209" spans="1:10" x14ac:dyDescent="0.3">
      <c r="A209" s="30" t="s">
        <v>110</v>
      </c>
      <c r="B209" s="26" t="s">
        <v>123</v>
      </c>
      <c r="C209" s="75">
        <f>723.145+529.956+103.228+3.99+20+52.999</f>
        <v>1433.3180000000002</v>
      </c>
      <c r="D209" s="75">
        <v>1335.799</v>
      </c>
      <c r="E209" s="27">
        <f t="shared" si="44"/>
        <v>-97.519000000000233</v>
      </c>
      <c r="F209" s="28">
        <f>SUM(D209/C209*100)</f>
        <v>93.19627605318567</v>
      </c>
      <c r="G209" s="31">
        <f>118.8</f>
        <v>118.8</v>
      </c>
      <c r="H209" s="31">
        <v>0</v>
      </c>
      <c r="I209" s="27">
        <f t="shared" si="43"/>
        <v>-118.8</v>
      </c>
      <c r="J209" s="28">
        <f>SUM(H209/G209*100)</f>
        <v>0</v>
      </c>
    </row>
    <row r="210" spans="1:10" x14ac:dyDescent="0.3">
      <c r="A210" s="79" t="s">
        <v>380</v>
      </c>
      <c r="B210" s="81" t="s">
        <v>381</v>
      </c>
      <c r="C210" s="18"/>
      <c r="D210" s="18"/>
      <c r="E210" s="27"/>
      <c r="F210" s="28"/>
      <c r="G210" s="31"/>
      <c r="H210" s="31">
        <v>156.816</v>
      </c>
      <c r="I210" s="27">
        <f t="shared" ref="I210" si="46">SUM(H210-G210)</f>
        <v>156.816</v>
      </c>
      <c r="J210" s="28"/>
    </row>
    <row r="211" spans="1:10" x14ac:dyDescent="0.3">
      <c r="A211" s="79" t="s">
        <v>442</v>
      </c>
      <c r="B211" s="104" t="s">
        <v>443</v>
      </c>
      <c r="C211" s="75"/>
      <c r="D211" s="75"/>
      <c r="E211" s="27"/>
      <c r="F211" s="28"/>
      <c r="G211" s="31">
        <v>71.363</v>
      </c>
      <c r="H211" s="31"/>
      <c r="I211" s="27">
        <f t="shared" ref="I211" si="47">H211-G211</f>
        <v>-71.363</v>
      </c>
      <c r="J211" s="28">
        <f>SUM(H211/G211*100)</f>
        <v>0</v>
      </c>
    </row>
    <row r="212" spans="1:10" ht="20.25" x14ac:dyDescent="0.2">
      <c r="A212" s="43" t="s">
        <v>57</v>
      </c>
      <c r="B212" s="44" t="s">
        <v>11</v>
      </c>
      <c r="C212" s="45">
        <f>SUM(C213+C216+C219+C222)</f>
        <v>120363.38966000002</v>
      </c>
      <c r="D212" s="45">
        <f>SUM(D213+D216+D219+D222)</f>
        <v>127238.42742000001</v>
      </c>
      <c r="E212" s="45">
        <f t="shared" ref="E212:E223" si="48">SUM(D212-C212)</f>
        <v>6875.037759999992</v>
      </c>
      <c r="F212" s="46">
        <f t="shared" ref="F212:F224" si="49">SUM(D212/C212*100)</f>
        <v>105.71190108505621</v>
      </c>
      <c r="G212" s="45">
        <f>SUM(G213+G216+G219+G222+G225)</f>
        <v>5030.6595600000001</v>
      </c>
      <c r="H212" s="45">
        <f>SUM(H213+H216+H219+H222)</f>
        <v>10228.349590000002</v>
      </c>
      <c r="I212" s="45">
        <f>SUM(H212-G212)</f>
        <v>5197.6900300000016</v>
      </c>
      <c r="J212" s="46" t="s">
        <v>328</v>
      </c>
    </row>
    <row r="213" spans="1:10" x14ac:dyDescent="0.3">
      <c r="A213" s="25" t="s">
        <v>59</v>
      </c>
      <c r="B213" s="26" t="s">
        <v>58</v>
      </c>
      <c r="C213" s="27">
        <f>C214+C215</f>
        <v>1606.01647</v>
      </c>
      <c r="D213" s="27">
        <f>D214+D215</f>
        <v>2457.9100100000001</v>
      </c>
      <c r="E213" s="27">
        <f>SUM(D213-C213)</f>
        <v>851.89354000000003</v>
      </c>
      <c r="F213" s="28" t="s">
        <v>492</v>
      </c>
      <c r="G213" s="27"/>
      <c r="H213" s="27"/>
      <c r="I213" s="27"/>
      <c r="J213" s="29"/>
    </row>
    <row r="214" spans="1:10" x14ac:dyDescent="0.3">
      <c r="A214" s="30" t="s">
        <v>60</v>
      </c>
      <c r="B214" s="26" t="s">
        <v>70</v>
      </c>
      <c r="C214" s="31">
        <v>1195.13789</v>
      </c>
      <c r="D214" s="31">
        <v>1837.3770099999999</v>
      </c>
      <c r="E214" s="27">
        <f>SUM(D214-C214)</f>
        <v>642.23911999999996</v>
      </c>
      <c r="F214" s="28" t="s">
        <v>492</v>
      </c>
      <c r="G214" s="31"/>
      <c r="H214" s="31"/>
      <c r="I214" s="27"/>
      <c r="J214" s="29"/>
    </row>
    <row r="215" spans="1:10" x14ac:dyDescent="0.3">
      <c r="A215" s="30" t="s">
        <v>61</v>
      </c>
      <c r="B215" s="26" t="s">
        <v>71</v>
      </c>
      <c r="C215" s="31">
        <v>410.87858</v>
      </c>
      <c r="D215" s="31">
        <v>620.53300000000002</v>
      </c>
      <c r="E215" s="27">
        <f>SUM(D215-C215)</f>
        <v>209.65442000000002</v>
      </c>
      <c r="F215" s="28" t="s">
        <v>492</v>
      </c>
      <c r="G215" s="31"/>
      <c r="H215" s="31"/>
      <c r="I215" s="27"/>
      <c r="J215" s="29"/>
    </row>
    <row r="216" spans="1:10" x14ac:dyDescent="0.2">
      <c r="A216" s="32" t="s">
        <v>62</v>
      </c>
      <c r="B216" s="33" t="s">
        <v>72</v>
      </c>
      <c r="C216" s="31">
        <f>C217+C218</f>
        <v>92800.574520000009</v>
      </c>
      <c r="D216" s="31">
        <f>D217+D218</f>
        <v>97279.445229999998</v>
      </c>
      <c r="E216" s="27">
        <f>SUM(D216-C216)</f>
        <v>4478.8707099999883</v>
      </c>
      <c r="F216" s="28">
        <f t="shared" si="49"/>
        <v>104.82633941995122</v>
      </c>
      <c r="G216" s="31">
        <f>G217+G218</f>
        <v>1446.90041</v>
      </c>
      <c r="H216" s="31">
        <f>H217+H218</f>
        <v>4550.7882600000003</v>
      </c>
      <c r="I216" s="27">
        <f>SUM(H216-G216)</f>
        <v>3103.8878500000001</v>
      </c>
      <c r="J216" s="28" t="s">
        <v>473</v>
      </c>
    </row>
    <row r="217" spans="1:10" x14ac:dyDescent="0.2">
      <c r="A217" s="32" t="s">
        <v>63</v>
      </c>
      <c r="B217" s="33" t="s">
        <v>73</v>
      </c>
      <c r="C217" s="31">
        <v>84021.026370000007</v>
      </c>
      <c r="D217" s="31">
        <v>87799.462169999999</v>
      </c>
      <c r="E217" s="27">
        <f t="shared" si="48"/>
        <v>3778.435799999992</v>
      </c>
      <c r="F217" s="28">
        <f t="shared" si="49"/>
        <v>104.49701219235415</v>
      </c>
      <c r="G217" s="31">
        <v>981.09145000000001</v>
      </c>
      <c r="H217" s="31">
        <v>4522.8334599999998</v>
      </c>
      <c r="I217" s="27">
        <f>SUM(H217-G217)</f>
        <v>3541.7420099999999</v>
      </c>
      <c r="J217" s="28" t="s">
        <v>474</v>
      </c>
    </row>
    <row r="218" spans="1:10" x14ac:dyDescent="0.2">
      <c r="A218" s="32" t="s">
        <v>64</v>
      </c>
      <c r="B218" s="33" t="s">
        <v>74</v>
      </c>
      <c r="C218" s="31">
        <v>8779.5481500000005</v>
      </c>
      <c r="D218" s="31">
        <v>9479.9830600000005</v>
      </c>
      <c r="E218" s="27">
        <f t="shared" si="48"/>
        <v>700.43490999999995</v>
      </c>
      <c r="F218" s="28">
        <f t="shared" si="49"/>
        <v>107.97802914265013</v>
      </c>
      <c r="G218" s="34">
        <v>465.80896000000001</v>
      </c>
      <c r="H218" s="27">
        <v>27.954799999999999</v>
      </c>
      <c r="I218" s="27">
        <f t="shared" ref="I218" si="50">SUM(H218-G218)</f>
        <v>-437.85416000000004</v>
      </c>
      <c r="J218" s="28">
        <f t="shared" ref="J218" si="51">SUM(H218/G218*100)</f>
        <v>6.0013444138129071</v>
      </c>
    </row>
    <row r="219" spans="1:10" x14ac:dyDescent="0.2">
      <c r="A219" s="32" t="s">
        <v>65</v>
      </c>
      <c r="B219" s="33" t="s">
        <v>75</v>
      </c>
      <c r="C219" s="27">
        <f>C220+C221</f>
        <v>15260.198910000001</v>
      </c>
      <c r="D219" s="27">
        <f>D220</f>
        <v>14262.15854</v>
      </c>
      <c r="E219" s="27">
        <f t="shared" si="48"/>
        <v>-998.04037000000062</v>
      </c>
      <c r="F219" s="28">
        <f t="shared" si="49"/>
        <v>93.459846913620609</v>
      </c>
      <c r="G219" s="27">
        <f>G220</f>
        <v>1597.087</v>
      </c>
      <c r="H219" s="27">
        <f>H220</f>
        <v>5677.5613300000005</v>
      </c>
      <c r="I219" s="27">
        <f>SUM(H219-G219)</f>
        <v>4080.4743300000005</v>
      </c>
      <c r="J219" s="28" t="s">
        <v>475</v>
      </c>
    </row>
    <row r="220" spans="1:10" x14ac:dyDescent="0.2">
      <c r="A220" s="35" t="s">
        <v>66</v>
      </c>
      <c r="B220" s="36" t="s">
        <v>76</v>
      </c>
      <c r="C220" s="37">
        <v>15208.22731</v>
      </c>
      <c r="D220" s="37">
        <v>14262.15854</v>
      </c>
      <c r="E220" s="38">
        <f t="shared" si="48"/>
        <v>-946.06876999999986</v>
      </c>
      <c r="F220" s="39">
        <f t="shared" si="49"/>
        <v>93.779230473640268</v>
      </c>
      <c r="G220" s="40">
        <v>1597.087</v>
      </c>
      <c r="H220" s="40">
        <f>1174.85113+4502.7102</f>
        <v>5677.5613300000005</v>
      </c>
      <c r="I220" s="38">
        <f>SUM(H220-G220)</f>
        <v>4080.4743300000005</v>
      </c>
      <c r="J220" s="28" t="s">
        <v>475</v>
      </c>
    </row>
    <row r="221" spans="1:10" x14ac:dyDescent="0.3">
      <c r="A221" s="32" t="s">
        <v>400</v>
      </c>
      <c r="B221" s="41" t="s">
        <v>404</v>
      </c>
      <c r="C221" s="31">
        <v>51.971600000000002</v>
      </c>
      <c r="D221" s="31"/>
      <c r="E221" s="27">
        <f>SUM(D221-C221)</f>
        <v>-51.971600000000002</v>
      </c>
      <c r="F221" s="28">
        <f>SUM(D221/C221*100)</f>
        <v>0</v>
      </c>
      <c r="G221" s="42"/>
      <c r="H221" s="42"/>
      <c r="I221" s="27"/>
      <c r="J221" s="28"/>
    </row>
    <row r="222" spans="1:10" x14ac:dyDescent="0.2">
      <c r="A222" s="32" t="s">
        <v>67</v>
      </c>
      <c r="B222" s="33" t="s">
        <v>77</v>
      </c>
      <c r="C222" s="31">
        <f>C223+C224</f>
        <v>10696.599760000001</v>
      </c>
      <c r="D222" s="31">
        <f>D223+D224</f>
        <v>13238.913639999999</v>
      </c>
      <c r="E222" s="27">
        <f>SUM(D222-C222)</f>
        <v>2542.3138799999979</v>
      </c>
      <c r="F222" s="28">
        <f t="shared" si="49"/>
        <v>123.76749562517048</v>
      </c>
      <c r="G222" s="31">
        <f>G223+G224</f>
        <v>82.992149999999995</v>
      </c>
      <c r="H222" s="31"/>
      <c r="I222" s="27">
        <f>SUM(H222-G222)</f>
        <v>-82.992149999999995</v>
      </c>
      <c r="J222" s="28">
        <f>SUM(H222/G222*100)</f>
        <v>0</v>
      </c>
    </row>
    <row r="223" spans="1:10" ht="37.5" x14ac:dyDescent="0.2">
      <c r="A223" s="32" t="s">
        <v>68</v>
      </c>
      <c r="B223" s="33" t="s">
        <v>78</v>
      </c>
      <c r="C223" s="31">
        <v>6703.7564700000003</v>
      </c>
      <c r="D223" s="31">
        <v>8917.4728599999999</v>
      </c>
      <c r="E223" s="27">
        <f t="shared" si="48"/>
        <v>2213.7163899999996</v>
      </c>
      <c r="F223" s="28">
        <f t="shared" si="49"/>
        <v>133.02202876710405</v>
      </c>
      <c r="G223" s="31"/>
      <c r="H223" s="31"/>
      <c r="I223" s="27"/>
      <c r="J223" s="29"/>
    </row>
    <row r="224" spans="1:10" x14ac:dyDescent="0.2">
      <c r="A224" s="32" t="s">
        <v>69</v>
      </c>
      <c r="B224" s="33" t="s">
        <v>79</v>
      </c>
      <c r="C224" s="31">
        <v>3992.8432899999998</v>
      </c>
      <c r="D224" s="27">
        <v>4321.4407799999999</v>
      </c>
      <c r="E224" s="27">
        <f>SUM(D224-C224)</f>
        <v>328.59749000000011</v>
      </c>
      <c r="F224" s="28">
        <f t="shared" si="49"/>
        <v>108.22966157532319</v>
      </c>
      <c r="G224" s="31">
        <v>82.992149999999995</v>
      </c>
      <c r="H224" s="27"/>
      <c r="I224" s="27">
        <f>SUM(H224-G224)</f>
        <v>-82.992149999999995</v>
      </c>
      <c r="J224" s="28">
        <f>SUM(H224/G224*100)</f>
        <v>0</v>
      </c>
    </row>
    <row r="225" spans="1:10" x14ac:dyDescent="0.3">
      <c r="A225" s="73" t="s">
        <v>362</v>
      </c>
      <c r="B225" s="97" t="s">
        <v>364</v>
      </c>
      <c r="C225" s="17"/>
      <c r="D225" s="17"/>
      <c r="E225" s="16"/>
      <c r="F225" s="23"/>
      <c r="G225" s="17">
        <v>1903.68</v>
      </c>
      <c r="H225" s="16"/>
      <c r="I225" s="27">
        <f t="shared" ref="I225" si="52">H225-G225</f>
        <v>-1903.68</v>
      </c>
      <c r="J225" s="28">
        <f>SUM(H225/G225*100)</f>
        <v>0</v>
      </c>
    </row>
    <row r="226" spans="1:10" ht="20.25" x14ac:dyDescent="0.2">
      <c r="A226" s="43" t="s">
        <v>53</v>
      </c>
      <c r="B226" s="86" t="s">
        <v>9</v>
      </c>
      <c r="C226" s="45">
        <f>C227+C231+C232+C233+C234+C235+C238+C240</f>
        <v>364427.23200000002</v>
      </c>
      <c r="D226" s="45">
        <f>D227+D231+D232+D233+D234+D235+D238+D240</f>
        <v>382310.435</v>
      </c>
      <c r="E226" s="45">
        <f>SUM(D226-C226)</f>
        <v>17883.20299999998</v>
      </c>
      <c r="F226" s="46">
        <f>SUM(D226/C226*100)</f>
        <v>104.90720819677932</v>
      </c>
      <c r="G226" s="45">
        <f>G227+G231+G232+G233+G234+G235+G238+G240+G239</f>
        <v>34581.597320000001</v>
      </c>
      <c r="H226" s="45">
        <f>H227+H231+H232+H233+H234+H235+H238+H240+H239+H241</f>
        <v>219133.03999999998</v>
      </c>
      <c r="I226" s="133">
        <f>SUM(H226-G226)</f>
        <v>184551.44267999998</v>
      </c>
      <c r="J226" s="134" t="s">
        <v>502</v>
      </c>
    </row>
    <row r="227" spans="1:10" x14ac:dyDescent="0.2">
      <c r="A227" s="89" t="s">
        <v>54</v>
      </c>
      <c r="B227" s="74" t="s">
        <v>124</v>
      </c>
      <c r="C227" s="27">
        <f>C228+C229+C230</f>
        <v>38976.769</v>
      </c>
      <c r="D227" s="27">
        <f>D228+D229+D230</f>
        <v>30484.886999999999</v>
      </c>
      <c r="E227" s="27">
        <f>SUM(D227-C227)</f>
        <v>-8491.8820000000014</v>
      </c>
      <c r="F227" s="28">
        <f>SUM(D227/C227*100)</f>
        <v>78.212965779693022</v>
      </c>
      <c r="G227" s="27">
        <f>G228+G229+G230</f>
        <v>11320.06646</v>
      </c>
      <c r="H227" s="27">
        <f>H228+H229+H230</f>
        <v>5527.7649999999994</v>
      </c>
      <c r="I227" s="27">
        <f>SUM(H227-G227)</f>
        <v>-5792.3014600000006</v>
      </c>
      <c r="J227" s="28">
        <f>SUM(H227/G227*100)</f>
        <v>48.831559598458398</v>
      </c>
    </row>
    <row r="228" spans="1:10" x14ac:dyDescent="0.2">
      <c r="A228" s="89" t="s">
        <v>111</v>
      </c>
      <c r="B228" s="74" t="s">
        <v>125</v>
      </c>
      <c r="C228" s="27">
        <f>15747+1090.797</f>
        <v>16837.796999999999</v>
      </c>
      <c r="D228" s="75">
        <f>5155.62+1915.79</f>
        <v>7071.41</v>
      </c>
      <c r="E228" s="27">
        <f>SUM(D228-C228)</f>
        <v>-9766.3869999999988</v>
      </c>
      <c r="F228" s="28">
        <f>SUM(D228/C228*100)</f>
        <v>41.997239900207852</v>
      </c>
      <c r="G228" s="27">
        <v>11320.06646</v>
      </c>
      <c r="H228" s="27">
        <f>4259.968+242.516</f>
        <v>4502.4839999999995</v>
      </c>
      <c r="I228" s="27">
        <f>SUM(H228-G228)</f>
        <v>-6817.5824600000005</v>
      </c>
      <c r="J228" s="28">
        <f>SUM(H228/G228*100)</f>
        <v>39.774360123323866</v>
      </c>
    </row>
    <row r="229" spans="1:10" ht="37.5" x14ac:dyDescent="0.2">
      <c r="A229" s="89" t="s">
        <v>112</v>
      </c>
      <c r="B229" s="70" t="s">
        <v>82</v>
      </c>
      <c r="C229" s="27">
        <f>6681.414+3753.843+6709.828+4993.887</f>
        <v>22138.971999999998</v>
      </c>
      <c r="D229" s="31">
        <f>5704.68+5917.146+3716.739+7051.951</f>
        <v>22390.516</v>
      </c>
      <c r="E229" s="27">
        <f t="shared" ref="E229:E232" si="53">SUM(D229-C229)</f>
        <v>251.54400000000169</v>
      </c>
      <c r="F229" s="28">
        <f t="shared" ref="F229" si="54">SUM(D229/C229*100)</f>
        <v>101.13620451753587</v>
      </c>
      <c r="G229" s="27"/>
      <c r="H229" s="27"/>
      <c r="I229" s="27"/>
      <c r="J229" s="28"/>
    </row>
    <row r="230" spans="1:10" x14ac:dyDescent="0.3">
      <c r="A230" s="89" t="s">
        <v>351</v>
      </c>
      <c r="B230" s="3" t="s">
        <v>352</v>
      </c>
      <c r="C230" s="27"/>
      <c r="D230" s="31">
        <v>1022.961</v>
      </c>
      <c r="E230" s="27">
        <f t="shared" ref="E230:E231" si="55">SUM(D230-C230)</f>
        <v>1022.961</v>
      </c>
      <c r="F230" s="28"/>
      <c r="G230" s="27"/>
      <c r="H230" s="27">
        <v>1025.2809999999999</v>
      </c>
      <c r="I230" s="27">
        <f t="shared" ref="I230" si="56">SUM(H230-G230)</f>
        <v>1025.2809999999999</v>
      </c>
      <c r="J230" s="28"/>
    </row>
    <row r="231" spans="1:10" ht="37.5" x14ac:dyDescent="0.2">
      <c r="A231" s="114">
        <v>6020</v>
      </c>
      <c r="B231" s="70" t="s">
        <v>126</v>
      </c>
      <c r="C231" s="31">
        <f>56375.63+345.56+95.88+349.68</f>
        <v>57166.749999999993</v>
      </c>
      <c r="D231" s="31">
        <f>111.786+66804.643+184.001+463.9+392.701</f>
        <v>67957.030999999988</v>
      </c>
      <c r="E231" s="27">
        <f t="shared" si="55"/>
        <v>10790.280999999995</v>
      </c>
      <c r="F231" s="28">
        <f t="shared" ref="F231" si="57">SUM(D231/C231*100)</f>
        <v>118.87509959898017</v>
      </c>
      <c r="G231" s="31"/>
      <c r="H231" s="31"/>
      <c r="I231" s="27"/>
      <c r="J231" s="28"/>
    </row>
    <row r="232" spans="1:10" x14ac:dyDescent="0.2">
      <c r="A232" s="114">
        <v>6030</v>
      </c>
      <c r="B232" s="70" t="s">
        <v>127</v>
      </c>
      <c r="C232" s="31">
        <f>166139.411+15548.101+9833.426+16601.169+22793.362</f>
        <v>230915.46899999998</v>
      </c>
      <c r="D232" s="31">
        <f>158950.904+26477.98+10157.434+15864.184+25403.702</f>
        <v>236854.20400000003</v>
      </c>
      <c r="E232" s="27">
        <f t="shared" si="53"/>
        <v>5938.7350000000442</v>
      </c>
      <c r="F232" s="28">
        <f>SUM(D232/C232*100)</f>
        <v>102.57182207225799</v>
      </c>
      <c r="G232" s="27">
        <v>7236.4948599999998</v>
      </c>
      <c r="H232" s="27">
        <f>52773+146.484+62.141+252.781</f>
        <v>53234.406000000003</v>
      </c>
      <c r="I232" s="27">
        <f>SUM(H232-G232)</f>
        <v>45997.911140000004</v>
      </c>
      <c r="J232" s="28" t="s">
        <v>476</v>
      </c>
    </row>
    <row r="233" spans="1:10" x14ac:dyDescent="0.2">
      <c r="A233" s="114">
        <v>6040</v>
      </c>
      <c r="B233" s="70" t="s">
        <v>285</v>
      </c>
      <c r="C233" s="31">
        <v>25913.166000000001</v>
      </c>
      <c r="D233" s="31">
        <v>36049.466</v>
      </c>
      <c r="E233" s="27">
        <f t="shared" ref="E233" si="58">SUM(D233-C233)</f>
        <v>10136.299999999999</v>
      </c>
      <c r="F233" s="28">
        <f t="shared" ref="F233" si="59">SUM(D233/C233*100)</f>
        <v>139.11640900999899</v>
      </c>
      <c r="G233" s="31"/>
      <c r="H233" s="27">
        <v>1096.1289999999999</v>
      </c>
      <c r="I233" s="27">
        <f t="shared" ref="I233" si="60">SUM(H233-G233)</f>
        <v>1096.1289999999999</v>
      </c>
      <c r="J233" s="28"/>
    </row>
    <row r="234" spans="1:10" ht="37.5" x14ac:dyDescent="0.2">
      <c r="A234" s="114">
        <v>6050</v>
      </c>
      <c r="B234" s="90" t="s">
        <v>275</v>
      </c>
      <c r="C234" s="31">
        <v>9504.8119999999999</v>
      </c>
      <c r="D234" s="31"/>
      <c r="E234" s="27">
        <f t="shared" ref="E234" si="61">SUM(D234-C234)</f>
        <v>-9504.8119999999999</v>
      </c>
      <c r="F234" s="28">
        <f>SUM(D234/C234*100)</f>
        <v>0</v>
      </c>
      <c r="G234" s="31">
        <v>12610.554</v>
      </c>
      <c r="H234" s="31"/>
      <c r="I234" s="27">
        <f>SUM(H234-G234)</f>
        <v>-12610.554</v>
      </c>
      <c r="J234" s="28">
        <f>SUM(H234/G234*100)</f>
        <v>0</v>
      </c>
    </row>
    <row r="235" spans="1:10" x14ac:dyDescent="0.2">
      <c r="A235" s="114">
        <v>6080</v>
      </c>
      <c r="B235" s="70" t="s">
        <v>130</v>
      </c>
      <c r="C235" s="31">
        <f>C236+C237</f>
        <v>963.9</v>
      </c>
      <c r="D235" s="31">
        <f>D236+D237</f>
        <v>1374.095</v>
      </c>
      <c r="E235" s="27">
        <f t="shared" ref="E235" si="62">SUM(D235-C235)</f>
        <v>410.19500000000005</v>
      </c>
      <c r="F235" s="28">
        <f>SUM(D235/C235*100)</f>
        <v>142.55576304595914</v>
      </c>
      <c r="G235" s="31"/>
      <c r="H235" s="31"/>
      <c r="I235" s="27"/>
      <c r="J235" s="28"/>
    </row>
    <row r="236" spans="1:10" ht="37.5" x14ac:dyDescent="0.2">
      <c r="A236" s="114">
        <v>6084</v>
      </c>
      <c r="B236" s="70" t="s">
        <v>128</v>
      </c>
      <c r="C236" s="31">
        <v>963.9</v>
      </c>
      <c r="D236" s="31">
        <v>1374.095</v>
      </c>
      <c r="E236" s="27">
        <f t="shared" ref="E236" si="63">SUM(D236-C236)</f>
        <v>410.19500000000005</v>
      </c>
      <c r="F236" s="28">
        <f>SUM(D236/C236*100)</f>
        <v>142.55576304595914</v>
      </c>
      <c r="G236" s="31"/>
      <c r="H236" s="31"/>
      <c r="I236" s="27"/>
      <c r="J236" s="29"/>
    </row>
    <row r="237" spans="1:10" x14ac:dyDescent="0.2">
      <c r="A237" s="114" t="s">
        <v>329</v>
      </c>
      <c r="B237" s="70" t="s">
        <v>171</v>
      </c>
      <c r="C237" s="31"/>
      <c r="D237" s="31"/>
      <c r="E237" s="27"/>
      <c r="F237" s="28"/>
      <c r="G237" s="31"/>
      <c r="H237" s="31"/>
      <c r="I237" s="27"/>
      <c r="J237" s="28"/>
    </row>
    <row r="238" spans="1:10" x14ac:dyDescent="0.2">
      <c r="A238" s="114">
        <v>6090</v>
      </c>
      <c r="B238" s="70" t="s">
        <v>129</v>
      </c>
      <c r="C238" s="31">
        <v>986.36599999999999</v>
      </c>
      <c r="D238" s="31">
        <v>5048.5339999999997</v>
      </c>
      <c r="E238" s="27">
        <f t="shared" ref="E238" si="64">SUM(D238-C238)</f>
        <v>4062.1679999999997</v>
      </c>
      <c r="F238" s="28" t="s">
        <v>477</v>
      </c>
      <c r="G238" s="31"/>
      <c r="H238" s="27"/>
      <c r="I238" s="27"/>
      <c r="J238" s="28"/>
    </row>
    <row r="239" spans="1:10" x14ac:dyDescent="0.3">
      <c r="A239" s="114">
        <v>6091</v>
      </c>
      <c r="B239" s="3" t="s">
        <v>365</v>
      </c>
      <c r="C239" s="31"/>
      <c r="D239" s="31"/>
      <c r="E239" s="27"/>
      <c r="F239" s="28"/>
      <c r="G239" s="27">
        <v>3414.482</v>
      </c>
      <c r="H239" s="27">
        <v>1070.482</v>
      </c>
      <c r="I239" s="27">
        <f>SUM(H239-G239)</f>
        <v>-2344</v>
      </c>
      <c r="J239" s="28">
        <f t="shared" ref="J239" si="65">SUM(H239/G239*100)</f>
        <v>31.351226921096671</v>
      </c>
    </row>
    <row r="240" spans="1:10" ht="37.5" x14ac:dyDescent="0.2">
      <c r="A240" s="114">
        <v>6092</v>
      </c>
      <c r="B240" s="33" t="s">
        <v>353</v>
      </c>
      <c r="C240" s="31"/>
      <c r="D240" s="31">
        <v>4542.2179999999998</v>
      </c>
      <c r="E240" s="27">
        <f t="shared" ref="E240" si="66">SUM(D240-C240)</f>
        <v>4542.2179999999998</v>
      </c>
      <c r="F240" s="28"/>
      <c r="G240" s="31"/>
      <c r="H240" s="27">
        <v>149361.56099999999</v>
      </c>
      <c r="I240" s="27">
        <f>SUM(H240-G240)</f>
        <v>149361.56099999999</v>
      </c>
      <c r="J240" s="28"/>
    </row>
    <row r="241" spans="1:10" ht="56.25" x14ac:dyDescent="0.2">
      <c r="A241" s="117">
        <v>6094</v>
      </c>
      <c r="B241" s="147" t="s">
        <v>409</v>
      </c>
      <c r="C241" s="17"/>
      <c r="D241" s="31"/>
      <c r="E241" s="27"/>
      <c r="F241" s="28"/>
      <c r="G241" s="31"/>
      <c r="H241" s="27">
        <v>8842.6970000000001</v>
      </c>
      <c r="I241" s="27">
        <f>SUM(H241-G241)</f>
        <v>8842.6970000000001</v>
      </c>
      <c r="J241" s="28"/>
    </row>
    <row r="242" spans="1:10" ht="20.25" x14ac:dyDescent="0.2">
      <c r="A242" s="137" t="s">
        <v>266</v>
      </c>
      <c r="B242" s="121" t="s">
        <v>267</v>
      </c>
      <c r="C242" s="116">
        <f>SUM(C243+C248+C255)</f>
        <v>343937.62177999999</v>
      </c>
      <c r="D242" s="116">
        <f>SUM(D243+D248+D255)</f>
        <v>433384.95399999997</v>
      </c>
      <c r="E242" s="45">
        <f>SUM(D242-C242)</f>
        <v>89447.332219999982</v>
      </c>
      <c r="F242" s="46">
        <f t="shared" ref="F242" si="67">SUM(D242/C242*100)</f>
        <v>126.00684733385027</v>
      </c>
      <c r="G242" s="51">
        <f>SUM(G243+G248+G255)</f>
        <v>740845.86400000006</v>
      </c>
      <c r="H242" s="51">
        <f>SUM(H243+H248+H255)</f>
        <v>737583.95388000004</v>
      </c>
      <c r="I242" s="45">
        <f t="shared" ref="I242:I243" si="68">SUM(H242-G242)</f>
        <v>-3261.910120000015</v>
      </c>
      <c r="J242" s="46">
        <f>SUM(H242/G242*100)</f>
        <v>99.559704618935413</v>
      </c>
    </row>
    <row r="243" spans="1:10" ht="20.25" x14ac:dyDescent="0.3">
      <c r="A243" s="112" t="s">
        <v>80</v>
      </c>
      <c r="B243" s="148" t="s">
        <v>463</v>
      </c>
      <c r="C243" s="103">
        <f>SUM(C244:C247)</f>
        <v>3</v>
      </c>
      <c r="D243" s="103">
        <f>SUM(D244:D247)</f>
        <v>7.3040000000000003</v>
      </c>
      <c r="E243" s="103">
        <f t="shared" ref="E243" si="69">SUM(D243-C243)</f>
        <v>4.3040000000000003</v>
      </c>
      <c r="F243" s="113" t="s">
        <v>493</v>
      </c>
      <c r="G243" s="103">
        <f>SUM(G244:G247)</f>
        <v>227884.152</v>
      </c>
      <c r="H243" s="103">
        <f>SUM(H244:H247)</f>
        <v>9519.8649999999998</v>
      </c>
      <c r="I243" s="103">
        <f t="shared" si="68"/>
        <v>-218364.28700000001</v>
      </c>
      <c r="J243" s="113">
        <f>SUM(H243/G243*100)</f>
        <v>4.1775019967162965</v>
      </c>
    </row>
    <row r="244" spans="1:10" x14ac:dyDescent="0.3">
      <c r="A244" s="79" t="s">
        <v>290</v>
      </c>
      <c r="B244" s="110" t="s">
        <v>291</v>
      </c>
      <c r="C244" s="15"/>
      <c r="D244" s="15"/>
      <c r="E244" s="16"/>
      <c r="F244" s="111"/>
      <c r="G244" s="17">
        <f>16158.153+188.213</f>
        <v>16346.366</v>
      </c>
      <c r="H244" s="17">
        <f>1097.773+8303.812</f>
        <v>9401.5849999999991</v>
      </c>
      <c r="I244" s="16">
        <f>SUM(H244-G244)</f>
        <v>-6944.7810000000009</v>
      </c>
      <c r="J244" s="23">
        <f>SUM(H244/G244*100)</f>
        <v>57.514832348670033</v>
      </c>
    </row>
    <row r="245" spans="1:10" x14ac:dyDescent="0.3">
      <c r="A245" s="79" t="s">
        <v>462</v>
      </c>
      <c r="B245" s="104" t="s">
        <v>464</v>
      </c>
      <c r="C245" s="15"/>
      <c r="D245" s="15"/>
      <c r="E245" s="16"/>
      <c r="F245" s="111"/>
      <c r="G245" s="17">
        <v>524.56100000000004</v>
      </c>
      <c r="H245" s="17"/>
      <c r="I245" s="27">
        <f t="shared" ref="I245" si="70">H245-G245</f>
        <v>-524.56100000000004</v>
      </c>
      <c r="J245" s="28">
        <f>SUM(H245/G245*100)</f>
        <v>0</v>
      </c>
    </row>
    <row r="246" spans="1:10" x14ac:dyDescent="0.3">
      <c r="A246" s="79" t="s">
        <v>401</v>
      </c>
      <c r="B246" s="109" t="s">
        <v>405</v>
      </c>
      <c r="C246" s="15">
        <v>3</v>
      </c>
      <c r="D246" s="15">
        <v>7.3040000000000003</v>
      </c>
      <c r="E246" s="16">
        <f t="shared" ref="E246" si="71">SUM(D246-C246)</f>
        <v>4.3040000000000003</v>
      </c>
      <c r="F246" s="23" t="s">
        <v>493</v>
      </c>
      <c r="G246" s="17">
        <v>405.36900000000003</v>
      </c>
      <c r="H246" s="17">
        <v>118.28</v>
      </c>
      <c r="I246" s="16">
        <f>SUM(H246-G246)</f>
        <v>-287.08900000000006</v>
      </c>
      <c r="J246" s="23"/>
    </row>
    <row r="247" spans="1:10" ht="56.25" x14ac:dyDescent="0.3">
      <c r="A247" s="79" t="s">
        <v>408</v>
      </c>
      <c r="B247" s="108" t="s">
        <v>409</v>
      </c>
      <c r="C247" s="15"/>
      <c r="D247" s="15"/>
      <c r="E247" s="16"/>
      <c r="F247" s="23"/>
      <c r="G247" s="17">
        <v>210607.856</v>
      </c>
      <c r="H247" s="17"/>
      <c r="I247" s="16">
        <f>SUM(H247-G247)</f>
        <v>-210607.856</v>
      </c>
      <c r="J247" s="23">
        <f>SUM(H247/G247*100)</f>
        <v>0</v>
      </c>
    </row>
    <row r="248" spans="1:10" ht="20.25" x14ac:dyDescent="0.2">
      <c r="A248" s="120" t="s">
        <v>84</v>
      </c>
      <c r="B248" s="121" t="s">
        <v>131</v>
      </c>
      <c r="C248" s="48">
        <f>SUM(C251+C253)</f>
        <v>327608.12677999999</v>
      </c>
      <c r="D248" s="48">
        <f>SUM(D251+D253)+D250</f>
        <v>410779.18299999996</v>
      </c>
      <c r="E248" s="45">
        <f t="shared" ref="E248:E255" si="72">SUM(D248-C248)</f>
        <v>83171.056219999969</v>
      </c>
      <c r="F248" s="46">
        <f>SUM(D248/C248*100)</f>
        <v>125.38736051436605</v>
      </c>
      <c r="G248" s="45">
        <f>SUM(G251+G253)</f>
        <v>25993.084999999999</v>
      </c>
      <c r="H248" s="45">
        <f>SUM(H251+H253+H249)</f>
        <v>86674.191879999998</v>
      </c>
      <c r="I248" s="45">
        <f>SUM(H248-G248)</f>
        <v>60681.106879999999</v>
      </c>
      <c r="J248" s="28" t="s">
        <v>397</v>
      </c>
    </row>
    <row r="249" spans="1:10" s="14" customFormat="1" x14ac:dyDescent="0.2">
      <c r="A249" s="73" t="s">
        <v>411</v>
      </c>
      <c r="B249" s="115" t="s">
        <v>414</v>
      </c>
      <c r="C249" s="16"/>
      <c r="D249" s="16"/>
      <c r="E249" s="27"/>
      <c r="F249" s="28"/>
      <c r="G249" s="27"/>
      <c r="H249" s="27">
        <v>68361.248000000007</v>
      </c>
      <c r="I249" s="27">
        <f t="shared" ref="I249:I250" si="73">SUM(H249-G249)</f>
        <v>68361.248000000007</v>
      </c>
      <c r="J249" s="28"/>
    </row>
    <row r="250" spans="1:10" s="14" customFormat="1" x14ac:dyDescent="0.2">
      <c r="A250" s="73" t="s">
        <v>412</v>
      </c>
      <c r="B250" s="115" t="s">
        <v>415</v>
      </c>
      <c r="C250" s="16"/>
      <c r="D250" s="16">
        <v>33867.267999999996</v>
      </c>
      <c r="E250" s="16">
        <f t="shared" ref="E250" si="74">SUM(D250-C250)</f>
        <v>33867.267999999996</v>
      </c>
      <c r="F250" s="28"/>
      <c r="G250" s="27"/>
      <c r="H250" s="27">
        <v>68361.248999999996</v>
      </c>
      <c r="I250" s="27">
        <f t="shared" si="73"/>
        <v>68361.248999999996</v>
      </c>
      <c r="J250" s="28"/>
    </row>
    <row r="251" spans="1:10" x14ac:dyDescent="0.2">
      <c r="A251" s="117">
        <v>7420</v>
      </c>
      <c r="B251" s="118" t="s">
        <v>135</v>
      </c>
      <c r="C251" s="16">
        <f>C252</f>
        <v>244454.46299999999</v>
      </c>
      <c r="D251" s="16">
        <f>D252</f>
        <v>300886.049</v>
      </c>
      <c r="E251" s="27">
        <f>SUM(D251-C251)</f>
        <v>56431.58600000001</v>
      </c>
      <c r="F251" s="28">
        <f>SUM(D251/C251*100)</f>
        <v>123.08470269164201</v>
      </c>
      <c r="G251" s="27"/>
      <c r="H251" s="27"/>
      <c r="I251" s="27"/>
      <c r="J251" s="28"/>
    </row>
    <row r="252" spans="1:10" x14ac:dyDescent="0.2">
      <c r="A252" s="119" t="s">
        <v>134</v>
      </c>
      <c r="B252" s="118" t="s">
        <v>83</v>
      </c>
      <c r="C252" s="16">
        <v>244454.46299999999</v>
      </c>
      <c r="D252" s="16">
        <v>300886.049</v>
      </c>
      <c r="E252" s="27">
        <f t="shared" si="72"/>
        <v>56431.58600000001</v>
      </c>
      <c r="F252" s="28">
        <f>SUM(D252/C252*100)</f>
        <v>123.08470269164201</v>
      </c>
      <c r="G252" s="27"/>
      <c r="H252" s="27"/>
      <c r="I252" s="27"/>
      <c r="J252" s="28"/>
    </row>
    <row r="253" spans="1:10" x14ac:dyDescent="0.2">
      <c r="A253" s="117">
        <v>7460</v>
      </c>
      <c r="B253" s="118" t="s">
        <v>132</v>
      </c>
      <c r="C253" s="16">
        <f>C254</f>
        <v>83153.663780000003</v>
      </c>
      <c r="D253" s="16">
        <f>D254</f>
        <v>76025.865999999995</v>
      </c>
      <c r="E253" s="27">
        <f t="shared" si="72"/>
        <v>-7127.7977800000081</v>
      </c>
      <c r="F253" s="28">
        <f>SUM(D253/C253*100)</f>
        <v>91.428161483229346</v>
      </c>
      <c r="G253" s="27">
        <f>G254</f>
        <v>25993.084999999999</v>
      </c>
      <c r="H253" s="27">
        <f>H254</f>
        <v>18312.943879999999</v>
      </c>
      <c r="I253" s="27">
        <f t="shared" ref="I253:I258" si="75">SUM(H253-G253)</f>
        <v>-7680.1411200000002</v>
      </c>
      <c r="J253" s="28">
        <f t="shared" ref="J253:J258" si="76">SUM(H253/G253*100)</f>
        <v>70.453137363264119</v>
      </c>
    </row>
    <row r="254" spans="1:10" ht="37.5" x14ac:dyDescent="0.2">
      <c r="A254" s="117">
        <v>7461</v>
      </c>
      <c r="B254" s="118" t="s">
        <v>133</v>
      </c>
      <c r="C254" s="17">
        <v>83153.663780000003</v>
      </c>
      <c r="D254" s="17">
        <v>76025.865999999995</v>
      </c>
      <c r="E254" s="27">
        <f t="shared" si="72"/>
        <v>-7127.7977800000081</v>
      </c>
      <c r="F254" s="28">
        <f>SUM(D254/C254*100)</f>
        <v>91.428161483229346</v>
      </c>
      <c r="G254" s="31">
        <v>25993.084999999999</v>
      </c>
      <c r="H254" s="31">
        <v>18312.943879999999</v>
      </c>
      <c r="I254" s="27">
        <f t="shared" si="75"/>
        <v>-7680.1411200000002</v>
      </c>
      <c r="J254" s="28">
        <f t="shared" si="76"/>
        <v>70.453137363264119</v>
      </c>
    </row>
    <row r="255" spans="1:10" ht="20.25" x14ac:dyDescent="0.3">
      <c r="A255" s="125" t="s">
        <v>90</v>
      </c>
      <c r="B255" s="126" t="s">
        <v>136</v>
      </c>
      <c r="C255" s="116">
        <f>SUM(C257:C260)</f>
        <v>16326.495000000001</v>
      </c>
      <c r="D255" s="51">
        <f>SUM(D256:D260)</f>
        <v>22598.467000000004</v>
      </c>
      <c r="E255" s="45">
        <f t="shared" si="72"/>
        <v>6271.9720000000034</v>
      </c>
      <c r="F255" s="46">
        <f t="shared" ref="F255" si="77">SUM(D255/C255*100)</f>
        <v>138.4159122947087</v>
      </c>
      <c r="G255" s="51">
        <f>SUM(G257:G260)</f>
        <v>486968.62700000004</v>
      </c>
      <c r="H255" s="51">
        <f>SUM(H257:H260)</f>
        <v>641389.897</v>
      </c>
      <c r="I255" s="133">
        <f t="shared" si="75"/>
        <v>154421.26999999996</v>
      </c>
      <c r="J255" s="134">
        <f t="shared" si="76"/>
        <v>131.71072250615435</v>
      </c>
    </row>
    <row r="256" spans="1:10" x14ac:dyDescent="0.3">
      <c r="A256" s="122" t="s">
        <v>402</v>
      </c>
      <c r="B256" s="123" t="s">
        <v>403</v>
      </c>
      <c r="C256" s="116"/>
      <c r="D256" s="17">
        <v>5</v>
      </c>
      <c r="E256" s="27">
        <f>SUM(D256-C256)</f>
        <v>5</v>
      </c>
      <c r="F256" s="28"/>
      <c r="G256" s="51"/>
      <c r="H256" s="51"/>
      <c r="I256" s="149"/>
      <c r="J256" s="150"/>
    </row>
    <row r="257" spans="1:10" x14ac:dyDescent="0.3">
      <c r="A257" s="122" t="s">
        <v>137</v>
      </c>
      <c r="B257" s="81" t="s">
        <v>88</v>
      </c>
      <c r="C257" s="17">
        <v>9713.8160000000007</v>
      </c>
      <c r="D257" s="75">
        <v>10274.662</v>
      </c>
      <c r="E257" s="27">
        <f>SUM(D257-C257)</f>
        <v>560.84599999999955</v>
      </c>
      <c r="F257" s="28">
        <f>SUM(D257/C257*100)</f>
        <v>105.77369388096294</v>
      </c>
      <c r="G257" s="31">
        <v>8534.857</v>
      </c>
      <c r="H257" s="27">
        <v>5531.8140000000003</v>
      </c>
      <c r="I257" s="27">
        <f t="shared" si="75"/>
        <v>-3003.0429999999997</v>
      </c>
      <c r="J257" s="28">
        <f t="shared" si="76"/>
        <v>64.814372402490179</v>
      </c>
    </row>
    <row r="258" spans="1:10" x14ac:dyDescent="0.3">
      <c r="A258" s="79" t="s">
        <v>138</v>
      </c>
      <c r="B258" s="81" t="s">
        <v>85</v>
      </c>
      <c r="C258" s="17"/>
      <c r="D258" s="17"/>
      <c r="E258" s="27"/>
      <c r="F258" s="151"/>
      <c r="G258" s="31">
        <v>477998.96</v>
      </c>
      <c r="H258" s="31">
        <v>633559.36699999997</v>
      </c>
      <c r="I258" s="27">
        <f t="shared" si="75"/>
        <v>155560.40699999995</v>
      </c>
      <c r="J258" s="28">
        <f t="shared" si="76"/>
        <v>132.54408900805976</v>
      </c>
    </row>
    <row r="259" spans="1:10" x14ac:dyDescent="0.3">
      <c r="A259" s="79" t="s">
        <v>163</v>
      </c>
      <c r="B259" s="81" t="s">
        <v>166</v>
      </c>
      <c r="C259" s="17">
        <v>306.64999999999998</v>
      </c>
      <c r="D259" s="75">
        <f>414.689+3000</f>
        <v>3414.6889999999999</v>
      </c>
      <c r="E259" s="27">
        <f t="shared" ref="E259:E266" si="78">SUM(D259-C259)</f>
        <v>3108.0389999999998</v>
      </c>
      <c r="F259" s="28" t="s">
        <v>478</v>
      </c>
      <c r="G259" s="31"/>
      <c r="H259" s="31"/>
      <c r="I259" s="27"/>
      <c r="J259" s="28"/>
    </row>
    <row r="260" spans="1:10" x14ac:dyDescent="0.3">
      <c r="A260" s="79" t="s">
        <v>140</v>
      </c>
      <c r="B260" s="124" t="s">
        <v>139</v>
      </c>
      <c r="C260" s="17">
        <f>C261</f>
        <v>6306.0290000000005</v>
      </c>
      <c r="D260" s="31">
        <f>D261</f>
        <v>8904.1160000000018</v>
      </c>
      <c r="E260" s="27">
        <f t="shared" si="78"/>
        <v>2598.0870000000014</v>
      </c>
      <c r="F260" s="28">
        <f t="shared" ref="F260:F263" si="79">SUM(D260/C260*100)</f>
        <v>141.20004839812822</v>
      </c>
      <c r="G260" s="31">
        <f>G261</f>
        <v>434.81</v>
      </c>
      <c r="H260" s="31">
        <f>H261</f>
        <v>2298.7159999999999</v>
      </c>
      <c r="I260" s="27">
        <f>SUM(H260-G260)</f>
        <v>1863.9059999999999</v>
      </c>
      <c r="J260" s="28" t="s">
        <v>479</v>
      </c>
    </row>
    <row r="261" spans="1:10" x14ac:dyDescent="0.2">
      <c r="A261" s="79" t="s">
        <v>141</v>
      </c>
      <c r="B261" s="118" t="s">
        <v>89</v>
      </c>
      <c r="C261" s="17">
        <v>6306.0290000000005</v>
      </c>
      <c r="D261" s="75">
        <f>6574.778+1976.353+317.001+32.084+3.9</f>
        <v>8904.1160000000018</v>
      </c>
      <c r="E261" s="27">
        <f t="shared" si="78"/>
        <v>2598.0870000000014</v>
      </c>
      <c r="F261" s="28">
        <f t="shared" si="79"/>
        <v>141.20004839812822</v>
      </c>
      <c r="G261" s="31">
        <v>434.81</v>
      </c>
      <c r="H261" s="31">
        <v>2298.7159999999999</v>
      </c>
      <c r="I261" s="27">
        <f>SUM(H261-G261)</f>
        <v>1863.9059999999999</v>
      </c>
      <c r="J261" s="28" t="s">
        <v>479</v>
      </c>
    </row>
    <row r="262" spans="1:10" ht="20.25" x14ac:dyDescent="0.2">
      <c r="A262" s="145" t="s">
        <v>81</v>
      </c>
      <c r="B262" s="146" t="s">
        <v>151</v>
      </c>
      <c r="C262" s="51">
        <f>SUM(C263)+C265+C273+C269</f>
        <v>50800.886550000003</v>
      </c>
      <c r="D262" s="51">
        <f>SUM(D263)+D265+D273+D269</f>
        <v>64360.001000000004</v>
      </c>
      <c r="E262" s="45">
        <f t="shared" si="78"/>
        <v>13559.114450000001</v>
      </c>
      <c r="F262" s="46">
        <f t="shared" si="79"/>
        <v>126.69070437708729</v>
      </c>
      <c r="G262" s="51">
        <f>SUM(G263)+G265+G273+G269</f>
        <v>41192.002999999997</v>
      </c>
      <c r="H262" s="51">
        <f>SUM(H263)+H265+H273+H269</f>
        <v>20668.101999999999</v>
      </c>
      <c r="I262" s="133">
        <f>SUM(H262-G262)</f>
        <v>-20523.900999999998</v>
      </c>
      <c r="J262" s="134">
        <f>SUM(H262/G262*100)</f>
        <v>50.17503518826215</v>
      </c>
    </row>
    <row r="263" spans="1:10" s="14" customFormat="1" ht="40.5" x14ac:dyDescent="0.3">
      <c r="A263" s="127" t="s">
        <v>142</v>
      </c>
      <c r="B263" s="126" t="s">
        <v>143</v>
      </c>
      <c r="C263" s="116">
        <f>SUM(C264:C264)</f>
        <v>49465.949000000001</v>
      </c>
      <c r="D263" s="116">
        <f>SUM(D264:D264)</f>
        <v>52106.400000000001</v>
      </c>
      <c r="E263" s="48">
        <f t="shared" si="78"/>
        <v>2640.4510000000009</v>
      </c>
      <c r="F263" s="76">
        <f t="shared" si="79"/>
        <v>105.33791639173849</v>
      </c>
      <c r="G263" s="116">
        <f>SUM(G264:G264)</f>
        <v>34247.436999999998</v>
      </c>
      <c r="H263" s="116">
        <f>SUM(H264:H264)</f>
        <v>20556.194</v>
      </c>
      <c r="I263" s="135">
        <f>SUM(H263-G263)</f>
        <v>-13691.242999999999</v>
      </c>
      <c r="J263" s="136">
        <f>SUM(H263/G263*100)</f>
        <v>60.02257628797156</v>
      </c>
    </row>
    <row r="264" spans="1:10" s="14" customFormat="1" x14ac:dyDescent="0.2">
      <c r="A264" s="79" t="s">
        <v>144</v>
      </c>
      <c r="B264" s="118" t="s">
        <v>145</v>
      </c>
      <c r="C264" s="17">
        <v>49465.949000000001</v>
      </c>
      <c r="D264" s="18">
        <v>52106.400000000001</v>
      </c>
      <c r="E264" s="16">
        <f t="shared" si="78"/>
        <v>2640.4510000000009</v>
      </c>
      <c r="F264" s="23">
        <f>SUM(D264/C264*100)</f>
        <v>105.33791639173849</v>
      </c>
      <c r="G264" s="17">
        <v>34247.436999999998</v>
      </c>
      <c r="H264" s="17">
        <v>20556.194</v>
      </c>
      <c r="I264" s="16">
        <f>SUM(H264-G264)</f>
        <v>-13691.242999999999</v>
      </c>
      <c r="J264" s="23">
        <f>SUM(H264/G264*100)</f>
        <v>60.02257628797156</v>
      </c>
    </row>
    <row r="265" spans="1:10" x14ac:dyDescent="0.2">
      <c r="A265" s="138" t="s">
        <v>149</v>
      </c>
      <c r="B265" s="139" t="s">
        <v>152</v>
      </c>
      <c r="C265" s="51">
        <f t="shared" ref="C265" si="80">SUM(C266:C268)</f>
        <v>834.07600000000002</v>
      </c>
      <c r="D265" s="51">
        <f>SUM(D266:D268)</f>
        <v>701.16099999999994</v>
      </c>
      <c r="E265" s="51">
        <f t="shared" ref="E265" si="81">SUM(E266:E268)</f>
        <v>-132.91500000000002</v>
      </c>
      <c r="F265" s="46">
        <f>SUM(D265/C265*100)</f>
        <v>84.064401805111274</v>
      </c>
      <c r="G265" s="51">
        <f t="shared" ref="G265" si="82">SUM(G266:G268)</f>
        <v>6754.5659999999998</v>
      </c>
      <c r="H265" s="51"/>
      <c r="I265" s="45">
        <f t="shared" ref="I265" si="83">H265-G265</f>
        <v>-6754.5659999999998</v>
      </c>
      <c r="J265" s="28">
        <f>SUM(H265/G265*100)</f>
        <v>0</v>
      </c>
    </row>
    <row r="266" spans="1:10" x14ac:dyDescent="0.3">
      <c r="A266" s="30" t="s">
        <v>150</v>
      </c>
      <c r="B266" s="33" t="s">
        <v>159</v>
      </c>
      <c r="C266" s="50">
        <v>282.5</v>
      </c>
      <c r="D266" s="75">
        <v>701.16099999999994</v>
      </c>
      <c r="E266" s="27">
        <f t="shared" si="78"/>
        <v>418.66099999999994</v>
      </c>
      <c r="F266" s="28" t="s">
        <v>494</v>
      </c>
      <c r="G266" s="31"/>
      <c r="H266" s="31"/>
      <c r="I266" s="27"/>
      <c r="J266" s="28"/>
    </row>
    <row r="267" spans="1:10" x14ac:dyDescent="0.3">
      <c r="A267" s="30" t="s">
        <v>458</v>
      </c>
      <c r="B267" s="104" t="s">
        <v>459</v>
      </c>
      <c r="C267" s="50">
        <v>2.2000000000000002</v>
      </c>
      <c r="D267" s="75"/>
      <c r="E267" s="16">
        <f t="shared" ref="E267:E268" si="84">SUM(D267-C267)</f>
        <v>-2.2000000000000002</v>
      </c>
      <c r="F267" s="28">
        <f t="shared" ref="F267:F268" si="85">SUM(D267/C267*100)</f>
        <v>0</v>
      </c>
      <c r="G267" s="31"/>
      <c r="H267" s="31"/>
      <c r="I267" s="27"/>
      <c r="J267" s="28"/>
    </row>
    <row r="268" spans="1:10" x14ac:dyDescent="0.2">
      <c r="A268" s="30" t="s">
        <v>357</v>
      </c>
      <c r="B268" s="67" t="s">
        <v>358</v>
      </c>
      <c r="C268" s="140">
        <v>549.37599999999998</v>
      </c>
      <c r="D268" s="75"/>
      <c r="E268" s="16">
        <f t="shared" si="84"/>
        <v>-549.37599999999998</v>
      </c>
      <c r="F268" s="28">
        <f t="shared" si="85"/>
        <v>0</v>
      </c>
      <c r="G268" s="31">
        <v>6754.5659999999998</v>
      </c>
      <c r="H268" s="27"/>
      <c r="I268" s="16">
        <f>SUM(H268-G268)</f>
        <v>-6754.5659999999998</v>
      </c>
      <c r="J268" s="23">
        <f>SUM(H268/G268*100)</f>
        <v>0</v>
      </c>
    </row>
    <row r="269" spans="1:10" s="14" customFormat="1" x14ac:dyDescent="0.2">
      <c r="A269" s="141" t="s">
        <v>311</v>
      </c>
      <c r="B269" s="142" t="s">
        <v>312</v>
      </c>
      <c r="C269" s="143">
        <f>C270+C272</f>
        <v>131.892</v>
      </c>
      <c r="D269" s="143">
        <f>D270</f>
        <v>10215.705</v>
      </c>
      <c r="E269" s="45">
        <f>SUM(D269-C269)</f>
        <v>10083.813</v>
      </c>
      <c r="F269" s="46" t="s">
        <v>495</v>
      </c>
      <c r="G269" s="143">
        <f>G270+G272</f>
        <v>190</v>
      </c>
      <c r="H269" s="143">
        <f>H270+H272</f>
        <v>111.908</v>
      </c>
      <c r="I269" s="45">
        <f>SUM(H269-G269)</f>
        <v>-78.091999999999999</v>
      </c>
      <c r="J269" s="134">
        <f>SUM(H269/G269*100)</f>
        <v>58.898947368421048</v>
      </c>
    </row>
    <row r="270" spans="1:10" s="14" customFormat="1" x14ac:dyDescent="0.2">
      <c r="A270" s="79" t="s">
        <v>313</v>
      </c>
      <c r="B270" s="99" t="s">
        <v>315</v>
      </c>
      <c r="C270" s="17">
        <f>C271</f>
        <v>131.892</v>
      </c>
      <c r="D270" s="18">
        <f>SUM(D271)</f>
        <v>10215.705</v>
      </c>
      <c r="E270" s="18">
        <f>SUM(E271)</f>
        <v>10083.813</v>
      </c>
      <c r="F270" s="23" t="s">
        <v>495</v>
      </c>
      <c r="G270" s="128"/>
      <c r="H270" s="16"/>
      <c r="I270" s="16"/>
      <c r="J270" s="23"/>
    </row>
    <row r="271" spans="1:10" s="14" customFormat="1" x14ac:dyDescent="0.2">
      <c r="A271" s="79" t="s">
        <v>314</v>
      </c>
      <c r="B271" s="99" t="s">
        <v>316</v>
      </c>
      <c r="C271" s="17">
        <v>131.892</v>
      </c>
      <c r="D271" s="18">
        <v>10215.705</v>
      </c>
      <c r="E271" s="16">
        <f>SUM(D271-C271)</f>
        <v>10083.813</v>
      </c>
      <c r="F271" s="23" t="s">
        <v>495</v>
      </c>
      <c r="G271" s="128"/>
      <c r="H271" s="16"/>
      <c r="I271" s="16"/>
      <c r="J271" s="23"/>
    </row>
    <row r="272" spans="1:10" s="14" customFormat="1" x14ac:dyDescent="0.2">
      <c r="A272" s="79" t="s">
        <v>410</v>
      </c>
      <c r="B272" s="115" t="s">
        <v>413</v>
      </c>
      <c r="C272" s="129"/>
      <c r="D272" s="18"/>
      <c r="E272" s="16"/>
      <c r="F272" s="23"/>
      <c r="G272" s="130">
        <v>190</v>
      </c>
      <c r="H272" s="16">
        <v>111.908</v>
      </c>
      <c r="I272" s="16">
        <f>SUM(H272-G272)</f>
        <v>-78.091999999999999</v>
      </c>
      <c r="J272" s="23">
        <f>SUM(H272/G272*100)</f>
        <v>58.898947368421048</v>
      </c>
    </row>
    <row r="273" spans="1:10" s="14" customFormat="1" x14ac:dyDescent="0.2">
      <c r="A273" s="79" t="s">
        <v>294</v>
      </c>
      <c r="B273" s="99" t="s">
        <v>295</v>
      </c>
      <c r="C273" s="17">
        <v>368.96955000000003</v>
      </c>
      <c r="D273" s="18">
        <v>1336.7349999999999</v>
      </c>
      <c r="E273" s="16">
        <f>SUM(D273-C273)</f>
        <v>967.76544999999987</v>
      </c>
      <c r="F273" s="23" t="s">
        <v>475</v>
      </c>
      <c r="G273" s="17"/>
      <c r="H273" s="16"/>
      <c r="I273" s="16"/>
      <c r="J273" s="23"/>
    </row>
    <row r="274" spans="1:10" ht="20.25" x14ac:dyDescent="0.2">
      <c r="A274" s="43"/>
      <c r="B274" s="44" t="s">
        <v>15</v>
      </c>
      <c r="C274" s="51">
        <f>C113+C117+C157+C167+C204+C212+C226+C242+C262</f>
        <v>2837872.0158300009</v>
      </c>
      <c r="D274" s="51">
        <f>D113+D117+D157+D167+D204+D212+D226+D242+D262</f>
        <v>3299535.3364700004</v>
      </c>
      <c r="E274" s="45">
        <f>SUM(D274-C274)</f>
        <v>461663.32063999958</v>
      </c>
      <c r="F274" s="46">
        <f t="shared" ref="F274:F275" si="86">SUM(D274/C274*100)</f>
        <v>116.26794013488926</v>
      </c>
      <c r="G274" s="51">
        <f>G113+G117+G157+G167+G204+G212+G226+G242+G262</f>
        <v>1061969.7731399999</v>
      </c>
      <c r="H274" s="51">
        <f>H113+H117+H157+H167+H204+H212+H226+H242+H262</f>
        <v>1458395.00147</v>
      </c>
      <c r="I274" s="45">
        <f>SUM(H274-G274)</f>
        <v>396425.22833000007</v>
      </c>
      <c r="J274" s="28">
        <f>SUM(H274/G274*100)</f>
        <v>137.32923839798775</v>
      </c>
    </row>
    <row r="275" spans="1:10" ht="20.25" x14ac:dyDescent="0.2">
      <c r="A275" s="43"/>
      <c r="B275" s="44" t="s">
        <v>13</v>
      </c>
      <c r="C275" s="51">
        <f>SUM(C276:C277)</f>
        <v>74992.084000000003</v>
      </c>
      <c r="D275" s="51">
        <f>SUM(D276:D277)</f>
        <v>51748.134999999995</v>
      </c>
      <c r="E275" s="45">
        <f>SUM(D275-C275)</f>
        <v>-23243.949000000008</v>
      </c>
      <c r="F275" s="46">
        <f t="shared" si="86"/>
        <v>69.004796559594212</v>
      </c>
      <c r="G275" s="51"/>
      <c r="H275" s="51">
        <f>SUM(H276:H277)</f>
        <v>34004.311999999998</v>
      </c>
      <c r="I275" s="45">
        <f>SUM(H275-G275)</f>
        <v>34004.311999999998</v>
      </c>
      <c r="J275" s="28"/>
    </row>
    <row r="276" spans="1:10" x14ac:dyDescent="0.2">
      <c r="A276" s="32" t="s">
        <v>168</v>
      </c>
      <c r="B276" s="70" t="s">
        <v>165</v>
      </c>
      <c r="C276" s="27">
        <v>37647.199999999997</v>
      </c>
      <c r="D276" s="75">
        <v>25833.332999999999</v>
      </c>
      <c r="E276" s="27">
        <f t="shared" ref="E276" si="87">SUM(D276-C276)</f>
        <v>-11813.866999999998</v>
      </c>
      <c r="F276" s="28">
        <f>SUM(D276/C276*100)</f>
        <v>68.619533457999538</v>
      </c>
      <c r="G276" s="27"/>
      <c r="H276" s="27"/>
      <c r="I276" s="27"/>
      <c r="J276" s="28"/>
    </row>
    <row r="277" spans="1:10" ht="45.75" customHeight="1" x14ac:dyDescent="0.2">
      <c r="A277" s="32" t="s">
        <v>399</v>
      </c>
      <c r="B277" s="107" t="s">
        <v>406</v>
      </c>
      <c r="C277" s="27">
        <v>37344.883999999998</v>
      </c>
      <c r="D277" s="54">
        <v>25914.802</v>
      </c>
      <c r="E277" s="27">
        <f t="shared" ref="E277" si="88">SUM(D277-C277)</f>
        <v>-11430.081999999999</v>
      </c>
      <c r="F277" s="28">
        <f>SUM(D277/C277*100)</f>
        <v>69.39317846053558</v>
      </c>
      <c r="G277" s="27"/>
      <c r="H277" s="27">
        <v>34004.311999999998</v>
      </c>
      <c r="I277" s="27">
        <f t="shared" ref="I277" si="89">SUM(H277-G277)</f>
        <v>34004.311999999998</v>
      </c>
      <c r="J277" s="28"/>
    </row>
    <row r="278" spans="1:10" ht="20.25" x14ac:dyDescent="0.2">
      <c r="A278" s="85"/>
      <c r="B278" s="144" t="s">
        <v>17</v>
      </c>
      <c r="C278" s="51">
        <f>C274+C275</f>
        <v>2912864.0998300007</v>
      </c>
      <c r="D278" s="51">
        <f>D274+D275</f>
        <v>3351283.4714700002</v>
      </c>
      <c r="E278" s="45">
        <f t="shared" ref="E278" si="90">SUM(D278-C278)</f>
        <v>438419.37163999956</v>
      </c>
      <c r="F278" s="46">
        <f>SUM(D278/C278*100)</f>
        <v>115.05114404978889</v>
      </c>
      <c r="G278" s="51">
        <f>G274+G275</f>
        <v>1061969.7731399999</v>
      </c>
      <c r="H278" s="51">
        <f>H274+H275</f>
        <v>1492399.3134699999</v>
      </c>
      <c r="I278" s="45">
        <f t="shared" ref="I278:I283" si="91">SUM(H278-G278)</f>
        <v>430429.54032999999</v>
      </c>
      <c r="J278" s="46">
        <f t="shared" ref="J278:J280" si="92">SUM(H278/G278*100)</f>
        <v>140.53124215177226</v>
      </c>
    </row>
    <row r="279" spans="1:10" s="14" customFormat="1" ht="20.25" x14ac:dyDescent="0.2">
      <c r="A279" s="92"/>
      <c r="B279" s="131" t="s">
        <v>16</v>
      </c>
      <c r="C279" s="48">
        <f>SUM(C281:C282)</f>
        <v>10880.999</v>
      </c>
      <c r="D279" s="48">
        <f>SUM(D281:D282)</f>
        <v>7264.3590000000004</v>
      </c>
      <c r="E279" s="48">
        <f t="shared" ref="E279" si="93">SUM(D279-C279)</f>
        <v>-3616.6399999999994</v>
      </c>
      <c r="F279" s="100">
        <f t="shared" ref="F279" si="94">SUM(D279/C279*100)</f>
        <v>66.761875449120069</v>
      </c>
      <c r="G279" s="48">
        <f>SUM(G281:G282)</f>
        <v>-4822.6149999999998</v>
      </c>
      <c r="H279" s="48">
        <f>SUM(H281:H282)</f>
        <v>2766.9220000000005</v>
      </c>
      <c r="I279" s="48">
        <f t="shared" si="91"/>
        <v>7589.5370000000003</v>
      </c>
      <c r="J279" s="100">
        <f t="shared" si="92"/>
        <v>-57.373893624102287</v>
      </c>
    </row>
    <row r="280" spans="1:10" s="14" customFormat="1" ht="40.5" x14ac:dyDescent="0.2">
      <c r="A280" s="92" t="s">
        <v>147</v>
      </c>
      <c r="B280" s="131" t="s">
        <v>148</v>
      </c>
      <c r="C280" s="48">
        <f>C281+C282</f>
        <v>10880.999</v>
      </c>
      <c r="D280" s="48">
        <f>SUM(D281:D282)</f>
        <v>7264.3590000000004</v>
      </c>
      <c r="E280" s="48">
        <f t="shared" ref="E280" si="95">SUM(D280-C280)</f>
        <v>-3616.6399999999994</v>
      </c>
      <c r="F280" s="100">
        <f t="shared" ref="F280:F281" si="96">SUM(D280/C280*100)</f>
        <v>66.761875449120069</v>
      </c>
      <c r="G280" s="48">
        <f>SUM(G281:G282)</f>
        <v>-4822.6149999999998</v>
      </c>
      <c r="H280" s="48">
        <f>SUM(H281:H282)</f>
        <v>2766.9220000000005</v>
      </c>
      <c r="I280" s="48">
        <f t="shared" si="91"/>
        <v>7589.5370000000003</v>
      </c>
      <c r="J280" s="100">
        <f t="shared" si="92"/>
        <v>-57.373893624102287</v>
      </c>
    </row>
    <row r="281" spans="1:10" s="14" customFormat="1" ht="37.5" x14ac:dyDescent="0.2">
      <c r="A281" s="79" t="s">
        <v>398</v>
      </c>
      <c r="B281" s="132" t="s">
        <v>407</v>
      </c>
      <c r="C281" s="16">
        <v>10880.999</v>
      </c>
      <c r="D281" s="16">
        <v>7264.3590000000004</v>
      </c>
      <c r="E281" s="16">
        <f t="shared" ref="E281" si="97">SUM(D281-C281)</f>
        <v>-3616.6399999999994</v>
      </c>
      <c r="F281" s="100">
        <f t="shared" si="96"/>
        <v>66.761875449120069</v>
      </c>
      <c r="G281" s="16">
        <v>1861.961</v>
      </c>
      <c r="H281" s="16">
        <v>9357.5630000000001</v>
      </c>
      <c r="I281" s="16">
        <f t="shared" si="91"/>
        <v>7495.6019999999999</v>
      </c>
      <c r="J281" s="24" t="s">
        <v>503</v>
      </c>
    </row>
    <row r="282" spans="1:10" s="14" customFormat="1" ht="37.5" x14ac:dyDescent="0.2">
      <c r="A282" s="79" t="s">
        <v>146</v>
      </c>
      <c r="B282" s="99" t="s">
        <v>176</v>
      </c>
      <c r="C282" s="16"/>
      <c r="D282" s="16"/>
      <c r="E282" s="16"/>
      <c r="F282" s="100"/>
      <c r="G282" s="16">
        <v>-6684.576</v>
      </c>
      <c r="H282" s="16">
        <v>-6590.6409999999996</v>
      </c>
      <c r="I282" s="16">
        <f t="shared" si="91"/>
        <v>93.9350000000004</v>
      </c>
      <c r="J282" s="24">
        <f>SUM(H282/G282*100)</f>
        <v>98.594750063429586</v>
      </c>
    </row>
    <row r="283" spans="1:10" ht="20.25" x14ac:dyDescent="0.2">
      <c r="A283" s="152"/>
      <c r="B283" s="153" t="s">
        <v>14</v>
      </c>
      <c r="C283" s="51">
        <f>C278+C279</f>
        <v>2923745.0988300005</v>
      </c>
      <c r="D283" s="51">
        <f>D278+D279</f>
        <v>3358547.8304700004</v>
      </c>
      <c r="E283" s="45">
        <f>SUM(D283-C283)</f>
        <v>434802.7316399999</v>
      </c>
      <c r="F283" s="46">
        <f>SUM(D283/C283*100)</f>
        <v>114.87143088547616</v>
      </c>
      <c r="G283" s="51">
        <f>G278+G279</f>
        <v>1057147.15814</v>
      </c>
      <c r="H283" s="51">
        <f>H278+H279</f>
        <v>1495166.23547</v>
      </c>
      <c r="I283" s="45">
        <f t="shared" si="91"/>
        <v>438019.07733</v>
      </c>
      <c r="J283" s="154">
        <f>SUM(H283/G283*100)</f>
        <v>141.43406846977422</v>
      </c>
    </row>
    <row r="284" spans="1:10" ht="20.25" x14ac:dyDescent="0.2">
      <c r="A284" s="152"/>
      <c r="B284" s="146" t="s">
        <v>18</v>
      </c>
      <c r="C284" s="51"/>
      <c r="D284" s="51"/>
      <c r="E284" s="27"/>
      <c r="F284" s="28"/>
      <c r="G284" s="51"/>
      <c r="H284" s="51"/>
      <c r="I284" s="45"/>
      <c r="J284" s="154"/>
    </row>
    <row r="285" spans="1:10" ht="20.25" x14ac:dyDescent="0.2">
      <c r="A285" s="155"/>
      <c r="B285" s="146" t="s">
        <v>19</v>
      </c>
      <c r="C285" s="51">
        <f>-C286</f>
        <v>1276059.82</v>
      </c>
      <c r="D285" s="51">
        <f>-D286</f>
        <v>1358456.798</v>
      </c>
      <c r="E285" s="45">
        <f>SUM(D285-C285)</f>
        <v>82396.977999999886</v>
      </c>
      <c r="F285" s="46">
        <f>SUM(D285/C285*100)</f>
        <v>106.45714070050414</v>
      </c>
      <c r="G285" s="51">
        <f>-G286-G289</f>
        <v>-673774.51599999995</v>
      </c>
      <c r="H285" s="51">
        <f>-H286-H289</f>
        <v>-897298.58000000007</v>
      </c>
      <c r="I285" s="45">
        <f t="shared" ref="I285:I290" si="98">SUM(H285-G285)</f>
        <v>-223524.06400000013</v>
      </c>
      <c r="J285" s="154">
        <f t="shared" ref="J285:J290" si="99">SUM(H285/G285*100)</f>
        <v>133.17490624712204</v>
      </c>
    </row>
    <row r="286" spans="1:10" ht="20.25" x14ac:dyDescent="0.2">
      <c r="A286" s="156">
        <v>200000</v>
      </c>
      <c r="B286" s="146" t="s">
        <v>20</v>
      </c>
      <c r="C286" s="51">
        <f>SUM(C287:C288)</f>
        <v>-1276059.82</v>
      </c>
      <c r="D286" s="51">
        <f>SUM(D287:D288)</f>
        <v>-1358456.798</v>
      </c>
      <c r="E286" s="45">
        <f>SUM(D286-C286)</f>
        <v>-82396.977999999886</v>
      </c>
      <c r="F286" s="46">
        <f>SUM(D286/C286*100)</f>
        <v>106.45714070050414</v>
      </c>
      <c r="G286" s="51">
        <f>SUM(G287:G288)</f>
        <v>675764.77799999993</v>
      </c>
      <c r="H286" s="51">
        <f>SUM(H287:H288)</f>
        <v>899464.17400000012</v>
      </c>
      <c r="I286" s="45">
        <f t="shared" si="98"/>
        <v>223699.39600000018</v>
      </c>
      <c r="J286" s="154">
        <f t="shared" si="99"/>
        <v>133.10314524856756</v>
      </c>
    </row>
    <row r="287" spans="1:10" x14ac:dyDescent="0.3">
      <c r="A287" s="66">
        <v>205000</v>
      </c>
      <c r="B287" s="26" t="s">
        <v>21</v>
      </c>
      <c r="C287" s="50">
        <v>-33665.254000000001</v>
      </c>
      <c r="D287" s="50">
        <v>-27893.407999999999</v>
      </c>
      <c r="E287" s="27">
        <f>SUM(D287-C287)</f>
        <v>5771.8460000000014</v>
      </c>
      <c r="F287" s="29">
        <f>SUM(D287/C287*100)</f>
        <v>82.855183567009476</v>
      </c>
      <c r="G287" s="50">
        <v>-50859.885999999999</v>
      </c>
      <c r="H287" s="50">
        <v>-158368.345</v>
      </c>
      <c r="I287" s="27">
        <f t="shared" si="98"/>
        <v>-107508.459</v>
      </c>
      <c r="J287" s="29" t="s">
        <v>473</v>
      </c>
    </row>
    <row r="288" spans="1:10" x14ac:dyDescent="0.3">
      <c r="A288" s="66">
        <v>208000</v>
      </c>
      <c r="B288" s="26" t="s">
        <v>22</v>
      </c>
      <c r="C288" s="50">
        <v>-1242394.5660000001</v>
      </c>
      <c r="D288" s="50">
        <v>-1330563.3899999999</v>
      </c>
      <c r="E288" s="27">
        <f>SUM(D288-C288)</f>
        <v>-88168.82399999979</v>
      </c>
      <c r="F288" s="29">
        <f>SUM(D288/C288*100)</f>
        <v>107.09668461315532</v>
      </c>
      <c r="G288" s="50">
        <v>726624.66399999999</v>
      </c>
      <c r="H288" s="50">
        <v>1057832.5190000001</v>
      </c>
      <c r="I288" s="27">
        <f t="shared" si="98"/>
        <v>331207.8550000001</v>
      </c>
      <c r="J288" s="29">
        <f t="shared" si="99"/>
        <v>145.58169732042018</v>
      </c>
    </row>
    <row r="289" spans="1:10" x14ac:dyDescent="0.3">
      <c r="A289" s="66">
        <v>300000</v>
      </c>
      <c r="B289" s="26" t="s">
        <v>296</v>
      </c>
      <c r="C289" s="50"/>
      <c r="D289" s="50"/>
      <c r="E289" s="27"/>
      <c r="F289" s="29"/>
      <c r="G289" s="50">
        <v>-1990.2619999999999</v>
      </c>
      <c r="H289" s="50">
        <v>-2165.5940000000001</v>
      </c>
      <c r="I289" s="27">
        <f t="shared" si="98"/>
        <v>-175.33200000000011</v>
      </c>
      <c r="J289" s="29">
        <f t="shared" si="99"/>
        <v>108.80949342347893</v>
      </c>
    </row>
    <row r="290" spans="1:10" ht="20.25" x14ac:dyDescent="0.3">
      <c r="A290" s="64">
        <v>900230</v>
      </c>
      <c r="B290" s="65" t="s">
        <v>23</v>
      </c>
      <c r="C290" s="51">
        <f>-C285</f>
        <v>-1276059.82</v>
      </c>
      <c r="D290" s="51">
        <f>-D285</f>
        <v>-1358456.798</v>
      </c>
      <c r="E290" s="45">
        <f>SUM(D290-C290)</f>
        <v>-82396.977999999886</v>
      </c>
      <c r="F290" s="46">
        <f>SUM(D290/C290*100)</f>
        <v>106.45714070050414</v>
      </c>
      <c r="G290" s="51">
        <f>-G285</f>
        <v>673774.51599999995</v>
      </c>
      <c r="H290" s="51">
        <f>-H285</f>
        <v>897298.58000000007</v>
      </c>
      <c r="I290" s="45">
        <f t="shared" si="98"/>
        <v>223524.06400000013</v>
      </c>
      <c r="J290" s="154">
        <f t="shared" si="99"/>
        <v>133.17490624712204</v>
      </c>
    </row>
    <row r="291" spans="1:10" ht="36" customHeight="1" x14ac:dyDescent="0.3">
      <c r="A291" s="197" t="s">
        <v>272</v>
      </c>
      <c r="B291" s="197"/>
      <c r="C291" s="197"/>
      <c r="D291" s="197"/>
      <c r="E291" s="197"/>
      <c r="F291" s="197"/>
      <c r="G291" s="197"/>
      <c r="H291" s="197"/>
      <c r="I291" s="197"/>
      <c r="J291" s="197"/>
    </row>
    <row r="292" spans="1:10" ht="66.75" customHeight="1" x14ac:dyDescent="0.2">
      <c r="A292" s="58" t="s">
        <v>2</v>
      </c>
      <c r="B292" s="59" t="s">
        <v>25</v>
      </c>
      <c r="C292" s="52" t="s">
        <v>417</v>
      </c>
      <c r="D292" s="52" t="s">
        <v>418</v>
      </c>
      <c r="E292" s="60" t="s">
        <v>27</v>
      </c>
      <c r="F292" s="61" t="s">
        <v>28</v>
      </c>
      <c r="G292" s="52"/>
      <c r="H292" s="52"/>
      <c r="I292" s="60"/>
      <c r="J292" s="61"/>
    </row>
    <row r="293" spans="1:10" ht="20.25" x14ac:dyDescent="0.3">
      <c r="A293" s="195" t="s">
        <v>326</v>
      </c>
      <c r="B293" s="196"/>
      <c r="C293" s="57"/>
      <c r="D293" s="53"/>
      <c r="E293" s="45"/>
      <c r="F293" s="62"/>
      <c r="G293" s="56"/>
      <c r="H293" s="56"/>
      <c r="I293" s="27"/>
      <c r="J293" s="63"/>
    </row>
    <row r="294" spans="1:10" ht="20.25" x14ac:dyDescent="0.3">
      <c r="A294" s="64">
        <v>400000</v>
      </c>
      <c r="B294" s="65" t="s">
        <v>24</v>
      </c>
      <c r="C294" s="53"/>
      <c r="D294" s="53">
        <f>D295</f>
        <v>76270.771999999997</v>
      </c>
      <c r="E294" s="45">
        <f>SUM(D294-C294)</f>
        <v>76270.771999999997</v>
      </c>
      <c r="F294" s="62"/>
      <c r="G294" s="56"/>
      <c r="H294" s="56"/>
      <c r="I294" s="27"/>
      <c r="J294" s="63"/>
    </row>
    <row r="295" spans="1:10" x14ac:dyDescent="0.3">
      <c r="A295" s="66" t="s">
        <v>324</v>
      </c>
      <c r="B295" s="67" t="s">
        <v>325</v>
      </c>
      <c r="C295" s="54"/>
      <c r="D295" s="54">
        <v>76270.771999999997</v>
      </c>
      <c r="E295" s="27">
        <f>SUM(D295-C295)</f>
        <v>76270.771999999997</v>
      </c>
      <c r="F295" s="63"/>
      <c r="G295" s="68"/>
      <c r="H295" s="68"/>
      <c r="I295" s="27"/>
      <c r="J295" s="63"/>
    </row>
    <row r="296" spans="1:10" ht="24" customHeight="1" x14ac:dyDescent="0.3">
      <c r="A296" s="195" t="s">
        <v>327</v>
      </c>
      <c r="B296" s="196"/>
      <c r="C296" s="54"/>
      <c r="D296" s="27"/>
      <c r="E296" s="27"/>
      <c r="F296" s="63"/>
      <c r="G296" s="68"/>
      <c r="H296" s="68"/>
      <c r="I296" s="27"/>
      <c r="J296" s="63"/>
    </row>
    <row r="297" spans="1:10" ht="20.25" x14ac:dyDescent="0.3">
      <c r="A297" s="64">
        <v>400000</v>
      </c>
      <c r="B297" s="65" t="s">
        <v>24</v>
      </c>
      <c r="C297" s="53">
        <f>C298</f>
        <v>81646.316999999995</v>
      </c>
      <c r="D297" s="53">
        <f>D298</f>
        <v>81646.316999999995</v>
      </c>
      <c r="E297" s="45">
        <f>SUM(D297-C297)</f>
        <v>0</v>
      </c>
      <c r="F297" s="62">
        <f>SUM(D297/C297*100)</f>
        <v>100</v>
      </c>
      <c r="G297" s="56"/>
      <c r="H297" s="56"/>
      <c r="I297" s="27"/>
      <c r="J297" s="63"/>
    </row>
    <row r="298" spans="1:10" ht="37.5" x14ac:dyDescent="0.3">
      <c r="A298" s="66">
        <v>420000</v>
      </c>
      <c r="B298" s="67" t="s">
        <v>26</v>
      </c>
      <c r="C298" s="54">
        <v>81646.316999999995</v>
      </c>
      <c r="D298" s="54">
        <v>81646.316999999995</v>
      </c>
      <c r="E298" s="27">
        <f>SUM(D298-C298)</f>
        <v>0</v>
      </c>
      <c r="F298" s="63">
        <f>SUM(D298/C298*100)</f>
        <v>100</v>
      </c>
      <c r="G298" s="68"/>
      <c r="H298" s="68"/>
      <c r="I298" s="27"/>
      <c r="J298" s="63"/>
    </row>
    <row r="299" spans="1:10" ht="20.25" x14ac:dyDescent="0.3">
      <c r="A299" s="64">
        <v>500000</v>
      </c>
      <c r="B299" s="65" t="s">
        <v>261</v>
      </c>
      <c r="C299" s="53">
        <f>SUM(C300)</f>
        <v>9820.9889999999996</v>
      </c>
      <c r="D299" s="53">
        <f>SUM(D300)</f>
        <v>6583.875</v>
      </c>
      <c r="E299" s="45">
        <f>SUM(D299-C299)</f>
        <v>-3237.1139999999996</v>
      </c>
      <c r="F299" s="62">
        <f>SUM(D299/C299*100)</f>
        <v>67.038818595560997</v>
      </c>
      <c r="G299" s="56"/>
      <c r="H299" s="56"/>
      <c r="I299" s="27"/>
      <c r="J299" s="63"/>
    </row>
    <row r="300" spans="1:10" x14ac:dyDescent="0.3">
      <c r="A300" s="69">
        <v>510000</v>
      </c>
      <c r="B300" s="70" t="s">
        <v>262</v>
      </c>
      <c r="C300" s="55">
        <v>9820.9889999999996</v>
      </c>
      <c r="D300" s="55">
        <v>6583.875</v>
      </c>
      <c r="E300" s="27">
        <f>SUM(D300-C300)</f>
        <v>-3237.1139999999996</v>
      </c>
      <c r="F300" s="63">
        <f>SUM(D300/C300*100)</f>
        <v>67.038818595560997</v>
      </c>
      <c r="G300" s="68"/>
      <c r="H300" s="68"/>
      <c r="I300" s="27"/>
      <c r="J300" s="63"/>
    </row>
    <row r="301" spans="1:10" ht="20.25" x14ac:dyDescent="0.3">
      <c r="A301" s="71"/>
      <c r="B301" s="65" t="s">
        <v>260</v>
      </c>
      <c r="C301" s="56">
        <f>C294+C297+C299</f>
        <v>91467.305999999997</v>
      </c>
      <c r="D301" s="56">
        <f>D294+D297+D299</f>
        <v>164500.96399999998</v>
      </c>
      <c r="E301" s="45">
        <f>SUM(D301-C301)</f>
        <v>73033.657999999981</v>
      </c>
      <c r="F301" s="62" t="s">
        <v>480</v>
      </c>
      <c r="G301" s="68"/>
      <c r="H301" s="68"/>
      <c r="I301" s="68"/>
      <c r="J301" s="72"/>
    </row>
  </sheetData>
  <customSheetViews>
    <customSheetView guid="{0CBA335B-0DD8-471B-913E-91954D8A7DE8}" scale="60" showPageBreaks="1" fitToPage="1" topLeftCell="A145">
      <selection activeCell="F1" sqref="F1"/>
      <pageMargins left="0.19685039370078741" right="0.23622047244094491" top="0.19685039370078741" bottom="0.19685039370078741" header="0.15748031496062992" footer="0.15748031496062992"/>
      <pageSetup paperSize="9" scale="29" fitToHeight="12" orientation="landscape" horizontalDpi="120" verticalDpi="144" r:id="rId1"/>
      <headerFooter alignWithMargins="0"/>
    </customSheetView>
    <customSheetView guid="{F9324F9E-6E0D-484A-B1A6-F87CCAA93894}" scale="50" fitToPage="1">
      <pane xSplit="2" ySplit="9" topLeftCell="C118" activePane="bottomRight" state="frozen"/>
      <selection pane="bottomRight" activeCell="F128" sqref="F128"/>
      <pageMargins left="0.19685039370078741" right="0.23622047244094491" top="0.19685039370078741" bottom="0.19685039370078741" header="0.15748031496062992" footer="0.15748031496062992"/>
      <pageSetup paperSize="9" scale="49" fitToHeight="12" orientation="landscape" horizontalDpi="120" verticalDpi="144" r:id="rId2"/>
      <headerFooter alignWithMargins="0"/>
    </customSheetView>
    <customSheetView guid="{95A7493F-2B11-406A-BB91-458FD9DC3BAE}" scale="75" showPageBreaks="1" fitToPage="1" printArea="1" showRuler="0">
      <pane xSplit="2" ySplit="9" topLeftCell="C109" activePane="bottomRight" state="frozen"/>
      <selection pane="bottomRight" activeCell="C100" sqref="C100"/>
      <pageMargins left="0.19685039370078741" right="0.19685039370078741" top="0.19685039370078741" bottom="0.19685039370078741" header="0.15748031496062992" footer="0.15748031496062992"/>
      <pageSetup paperSize="9" scale="47" fitToHeight="14" orientation="landscape" verticalDpi="144" r:id="rId3"/>
      <headerFooter alignWithMargins="0"/>
    </customSheetView>
    <customSheetView guid="{D0621073-25BE-47D7-AC33-51146458D41C}" scale="85" showPageBreaks="1" fitToPage="1">
      <pane xSplit="2" ySplit="9" topLeftCell="C207" activePane="bottomRight" state="frozen"/>
      <selection pane="bottomRight" activeCell="B219" sqref="B219"/>
      <pageMargins left="0.19685039370078741" right="0.23622047244094491" top="0.19685039370078741" bottom="0.19685039370078741" header="0.15748031496062992" footer="0.15748031496062992"/>
      <pageSetup paperSize="9" scale="13" fitToHeight="12" orientation="landscape" horizontalDpi="120" verticalDpi="144" r:id="rId4"/>
      <headerFooter alignWithMargins="0"/>
    </customSheetView>
    <customSheetView guid="{B09841F2-D07A-4B31-A395-000C1A63FF41}" scale="75" showPageBreaks="1" fitToPage="1" printArea="1" showRuler="0">
      <pane xSplit="2" ySplit="9" topLeftCell="C37" activePane="bottomRight" state="frozen"/>
      <selection pane="bottomRight" activeCell="C45" sqref="C45"/>
      <pageMargins left="0.19685039370078741" right="0.19685039370078741" top="0.19685039370078741" bottom="0.19685039370078741" header="0.15748031496062992" footer="0.15748031496062992"/>
      <pageSetup paperSize="9" scale="48" fitToHeight="14" orientation="landscape" verticalDpi="144" r:id="rId5"/>
      <headerFooter alignWithMargins="0"/>
    </customSheetView>
    <customSheetView guid="{3824CD03-2F75-4531-8348-997F8B6518CE}" scale="85" fitToPage="1">
      <pane xSplit="2" ySplit="9" topLeftCell="C194" activePane="bottomRight" state="frozen"/>
      <selection pane="bottomRight" activeCell="E200" sqref="E200"/>
      <pageMargins left="0.19685039370078741" right="0.23622047244094491" top="0.19685039370078741" bottom="0.19685039370078741" header="0.15748031496062992" footer="0.15748031496062992"/>
      <pageSetup paperSize="9" scale="36" fitToHeight="12" orientation="landscape" horizontalDpi="120" verticalDpi="144" r:id="rId6"/>
      <headerFooter alignWithMargins="0"/>
    </customSheetView>
    <customSheetView guid="{1BDFBE17-25BB-4BB9-B67F-4757B39B2D64}" scale="70" showPageBreaks="1" fitToPage="1" hiddenRows="1">
      <pane xSplit="2" ySplit="9" topLeftCell="C70" activePane="bottomRight" state="frozen"/>
      <selection pane="bottomRight" activeCell="B70" sqref="B70"/>
      <pageMargins left="0.19685039370078741" right="0.23622047244094491" top="0.19685039370078741" bottom="0.19685039370078741" header="0.15748031496062992" footer="0.15748031496062992"/>
      <pageSetup paperSize="9" scale="20" fitToHeight="12" orientation="landscape" verticalDpi="144" r:id="rId7"/>
      <headerFooter alignWithMargins="0"/>
    </customSheetView>
    <customSheetView guid="{713A662A-DFDD-43FB-A56E-1E210432D89D}" scale="85" fitToPage="1">
      <pane xSplit="2" ySplit="9" topLeftCell="C104" activePane="bottomRight" state="frozen"/>
      <selection pane="bottomRight" activeCell="C117" sqref="C117:C118"/>
      <pageMargins left="0.19685039370078741" right="0.23622047244094491" top="0.19685039370078741" bottom="0.19685039370078741" header="0.15748031496062992" footer="0.15748031496062992"/>
      <pageSetup paperSize="9" scale="36" fitToHeight="12" orientation="landscape" horizontalDpi="120" verticalDpi="144" r:id="rId8"/>
      <headerFooter alignWithMargins="0"/>
    </customSheetView>
    <customSheetView guid="{90518B97-7307-4173-A97E-975285B914B1}" scale="75" showPageBreaks="1" topLeftCell="A115">
      <selection activeCell="C120" sqref="C120"/>
      <pageMargins left="0.47244094488188981" right="0.23622047244094491" top="0.19685039370078741" bottom="0.19685039370078741" header="0.15748031496062992" footer="0.15748031496062992"/>
      <pageSetup paperSize="9" scale="48" fitToHeight="12" orientation="landscape" verticalDpi="144" r:id="rId9"/>
      <headerFooter differentFirst="1" alignWithMargins="0">
        <oddFooter>&amp;R&amp;P</oddFooter>
      </headerFooter>
    </customSheetView>
    <customSheetView guid="{8112C56A-816E-41B5-AC5C-5C34336EE27C}" scale="85" fitToPage="1">
      <pane xSplit="2" ySplit="9" topLeftCell="F215" activePane="bottomRight" state="frozen"/>
      <selection pane="bottomRight" activeCell="H220" sqref="H220"/>
      <pageMargins left="0.19685039370078741" right="0.23622047244094491" top="0.19685039370078741" bottom="0.19685039370078741" header="0.15748031496062992" footer="0.15748031496062992"/>
      <pageSetup paperSize="9" scale="44" fitToHeight="12" orientation="landscape" horizontalDpi="120" verticalDpi="144" r:id="rId10"/>
      <headerFooter alignWithMargins="0"/>
    </customSheetView>
    <customSheetView guid="{B0CF427B-E64B-46A6-97A4-9B49090FE4BE}" scale="85" fitToPage="1">
      <pane xSplit="2" ySplit="9" topLeftCell="C130" activePane="bottomRight" state="frozen"/>
      <selection pane="bottomRight" activeCell="A133" sqref="A133:IV133"/>
      <pageMargins left="0.19685039370078741" right="0.23622047244094491" top="0.19685039370078741" bottom="0.19685039370078741" header="0.15748031496062992" footer="0.15748031496062992"/>
      <pageSetup paperSize="9" scale="29" fitToHeight="12" orientation="landscape" horizontalDpi="120" verticalDpi="144" r:id="rId11"/>
      <headerFooter alignWithMargins="0"/>
    </customSheetView>
    <customSheetView guid="{72EDDA2C-BFF2-4D48-A13B-2B9C46213374}" scale="75" fitToPage="1">
      <pane xSplit="2" ySplit="9" topLeftCell="D242" activePane="bottomRight" state="frozen"/>
      <selection pane="bottomRight" activeCell="H241" sqref="H241"/>
      <pageMargins left="0.19685039370078741" right="0.23622047244094491" top="0.19685039370078741" bottom="0.19685039370078741" header="0.15748031496062992" footer="0.15748031496062992"/>
      <pageSetup paperSize="9" scale="49" fitToHeight="12" orientation="landscape" horizontalDpi="120" verticalDpi="144" r:id="rId12"/>
      <headerFooter alignWithMargins="0"/>
    </customSheetView>
    <customSheetView guid="{839A87F2-F73A-45C5-ADB8-392A99CC1EFF}" scale="85" fitToPage="1">
      <pane xSplit="2" ySplit="4" topLeftCell="C286" activePane="bottomRight" state="frozen"/>
      <selection pane="bottomRight" activeCell="L291" sqref="L291"/>
      <pageMargins left="0.19685039370078741" right="0.23622047244094491" top="0.19685039370078741" bottom="0.19685039370078741" header="0.15748031496062992" footer="0.15748031496062992"/>
      <pageSetup paperSize="9" scale="48" fitToHeight="12" orientation="landscape" horizontalDpi="120" verticalDpi="144" r:id="rId13"/>
      <headerFooter alignWithMargins="0"/>
    </customSheetView>
    <customSheetView guid="{5EEB5DC5-097B-47D6-81BA-F19E1000B57E}" scale="75" fitToPage="1" printArea="1" showRuler="0">
      <pane xSplit="2" ySplit="9" topLeftCell="C131" activePane="bottomRight" state="frozen"/>
      <selection pane="bottomRight" activeCell="G189" sqref="G189"/>
      <pageMargins left="0.19685039370078741" right="0.23622047244094491" top="0.19685039370078741" bottom="0.19685039370078741" header="0.15748031496062992" footer="0.15748031496062992"/>
      <pageSetup paperSize="9" scale="49" fitToHeight="12" orientation="landscape" horizontalDpi="120" verticalDpi="144" r:id="rId14"/>
      <headerFooter alignWithMargins="0"/>
    </customSheetView>
    <customSheetView guid="{795D5ECF-BF90-4F3E-A74E-B1A55C8421F2}" scale="75" fitToPage="1">
      <pane xSplit="2" ySplit="9" topLeftCell="C65" activePane="bottomRight" state="frozen"/>
      <selection pane="bottomRight" activeCell="B83" sqref="B83"/>
      <pageMargins left="0.19685039370078741" right="0.23622047244094491" top="0.19685039370078741" bottom="0.19685039370078741" header="0.15748031496062992" footer="0.15748031496062992"/>
      <pageSetup paperSize="9" scale="49" fitToHeight="12" orientation="landscape" horizontalDpi="120" verticalDpi="144" r:id="rId15"/>
      <headerFooter alignWithMargins="0"/>
    </customSheetView>
    <customSheetView guid="{E147D13D-D04D-431E-888C-5A9AE670FC44}" scale="75" showPageBreaks="1" view="pageBreakPreview" showRuler="0" topLeftCell="A7">
      <pane xSplit="2" ySplit="10" topLeftCell="C140" activePane="bottomRight" state="frozen"/>
      <selection pane="bottomRight" activeCell="A145" sqref="A145"/>
      <pageMargins left="0.19685039370078741" right="0.23622047244094491" top="0.19685039370078741" bottom="0.19685039370078741" header="0.15748031496062992" footer="0.15748031496062992"/>
      <pageSetup paperSize="9" scale="59" orientation="landscape" horizontalDpi="120" verticalDpi="144" r:id="rId16"/>
      <headerFooter alignWithMargins="0"/>
    </customSheetView>
    <customSheetView guid="{3B5575E9-696E-4E1F-8BBE-8483CF318052}" scale="75" fitToPage="1" printArea="1" showRuler="0">
      <pane xSplit="2" ySplit="9" topLeftCell="G49" activePane="bottomRight" state="frozen"/>
      <selection pane="bottomRight" activeCell="G52" sqref="G52"/>
      <pageMargins left="0.19685039370078741" right="0.23622047244094491" top="0.19685039370078741" bottom="0.19685039370078741" header="0.15748031496062992" footer="0.15748031496062992"/>
      <pageSetup paperSize="9" scale="58" fitToHeight="12" orientation="landscape" horizontalDpi="120" verticalDpi="144" r:id="rId17"/>
      <headerFooter alignWithMargins="0"/>
    </customSheetView>
    <customSheetView guid="{452C56A1-7A56-4ADE-A5CF-E260228787E3}" scale="75" showPageBreaks="1" fitToPage="1" printArea="1" view="pageBreakPreview" showRuler="0" topLeftCell="A6">
      <pane xSplit="2" ySplit="4" topLeftCell="J189" activePane="bottomRight" state="frozen"/>
      <selection pane="bottomRight" activeCell="A197" sqref="A197:J197"/>
      <pageMargins left="0.19685039370078741" right="0.23622047244094491" top="0.19685039370078741" bottom="0.19685039370078741" header="0.15748031496062992" footer="0.15748031496062992"/>
      <pageSetup paperSize="9" scale="53" fitToHeight="12" orientation="landscape" horizontalDpi="120" verticalDpi="144" r:id="rId18"/>
      <headerFooter alignWithMargins="0"/>
    </customSheetView>
    <customSheetView guid="{7EDDA008-F905-436E-A980-951BDACDA577}" scale="80" fitToPage="1">
      <pane xSplit="2" ySplit="9" topLeftCell="C10" activePane="bottomRight" state="frozen"/>
      <selection pane="bottomRight" activeCell="I19" sqref="I19"/>
      <pageMargins left="0.19685039370078741" right="0.23622047244094491" top="0.19685039370078741" bottom="0.19685039370078741" header="0.15748031496062992" footer="0.15748031496062992"/>
      <pageSetup paperSize="9" scale="50" fitToHeight="12" orientation="landscape" horizontalDpi="120" verticalDpi="144" r:id="rId19"/>
      <headerFooter alignWithMargins="0"/>
    </customSheetView>
    <customSheetView guid="{2A0A5548-2EEF-4469-A03C-FA481083CE33}" scale="60" showPageBreaks="1" fitToPage="1" showRuler="0">
      <pane xSplit="2" ySplit="9" topLeftCell="C84" activePane="bottomRight" state="frozen"/>
      <selection pane="bottomRight" activeCell="D85" sqref="D85"/>
      <pageMargins left="0.19685039370078741" right="0.23622047244094491" top="0.19685039370078741" bottom="0.19685039370078741" header="0.15748031496062992" footer="0.15748031496062992"/>
      <pageSetup paperSize="9" scale="49" fitToHeight="12" orientation="landscape" horizontalDpi="120" verticalDpi="144" r:id="rId20"/>
      <headerFooter alignWithMargins="0"/>
    </customSheetView>
    <customSheetView guid="{CC0A6F72-A956-4FF0-A9CF-B2F133844683}" scale="75" fitToPage="1" topLeftCell="A4">
      <pane xSplit="2" ySplit="1" topLeftCell="D247" activePane="bottomRight" state="frozen"/>
      <selection pane="bottomRight" activeCell="D263" sqref="D263"/>
      <pageMargins left="0.19685039370078741" right="0.23622047244094491" top="0.19685039370078741" bottom="0.19685039370078741" header="0.15748031496062992" footer="0.15748031496062992"/>
      <pageSetup paperSize="9" scale="49" fitToHeight="12" orientation="landscape" horizontalDpi="120" verticalDpi="144" r:id="rId21"/>
      <headerFooter alignWithMargins="0"/>
    </customSheetView>
    <customSheetView guid="{B5FF27E5-4C0E-4323-88CE-5D44F441DDEF}" scale="60" fitToPage="1">
      <pane xSplit="2" ySplit="9" topLeftCell="D65" activePane="bottomRight" state="frozen"/>
      <selection pane="bottomRight" activeCell="F101" sqref="F101"/>
      <pageMargins left="0.19685039370078741" right="0.23622047244094491" top="0.19685039370078741" bottom="0.19685039370078741" header="0.15748031496062992" footer="0.15748031496062992"/>
      <pageSetup paperSize="9" scale="40" fitToHeight="12" orientation="landscape" horizontalDpi="120" verticalDpi="144" r:id="rId22"/>
      <headerFooter alignWithMargins="0"/>
    </customSheetView>
    <customSheetView guid="{33313D92-ACCC-472C-8066-C92558BED64F}" scale="65" showPageBreaks="1" fitToPage="1">
      <pane xSplit="2" ySplit="9" topLeftCell="C220" activePane="bottomRight" state="frozen"/>
      <selection pane="bottomRight" activeCell="C124" sqref="C124:F124"/>
      <pageMargins left="0.19685039370078741" right="0.23622047244094491" top="0.19685039370078741" bottom="0.19685039370078741" header="0.15748031496062992" footer="0.15748031496062992"/>
      <pageSetup paperSize="9" scale="40" fitToHeight="12" orientation="landscape" horizontalDpi="120" verticalDpi="144" r:id="rId23"/>
      <headerFooter alignWithMargins="0"/>
    </customSheetView>
    <customSheetView guid="{F9D2B861-A6DF-4E58-9205-20667B07345D}" scale="85" fitToPage="1">
      <pane xSplit="2" ySplit="9" topLeftCell="C10" activePane="bottomRight" state="frozen"/>
      <selection pane="bottomRight" activeCell="A174" sqref="A174"/>
      <pageMargins left="0.19685039370078741" right="0.23622047244094491" top="0.19685039370078741" bottom="0.19685039370078741" header="0.15748031496062992" footer="0.15748031496062992"/>
      <pageSetup paperSize="9" scale="40" fitToHeight="12" orientation="landscape" horizontalDpi="120" verticalDpi="144" r:id="rId24"/>
      <headerFooter alignWithMargins="0"/>
    </customSheetView>
    <customSheetView guid="{0EDC1FFF-2611-4DAC-98A8-22EC25025967}" scale="75" showPageBreaks="1" fitToPage="1">
      <pane xSplit="2" ySplit="9" topLeftCell="C240" activePane="bottomRight" state="frozen"/>
      <selection pane="bottomRight" activeCell="I240" sqref="I240:J250"/>
      <pageMargins left="0.19685039370078741" right="0.23622047244094491" top="0.19685039370078741" bottom="0.19685039370078741" header="0.15748031496062992" footer="0.15748031496062992"/>
      <pageSetup paperSize="9" scale="40" fitToHeight="12" orientation="landscape" horizontalDpi="120" verticalDpi="144" r:id="rId25"/>
      <headerFooter alignWithMargins="0"/>
    </customSheetView>
    <customSheetView guid="{998E5F34-5F22-456C-AF6B-44B849DA5E75}" scale="70">
      <pane xSplit="2" ySplit="5" topLeftCell="F6" activePane="bottomRight" state="frozen"/>
      <selection pane="bottomRight" sqref="A1:J1"/>
      <pageMargins left="0.47244094488188981" right="0.23622047244094491" top="0.19685039370078741" bottom="0.19685039370078741" header="0.15748031496062992" footer="0.15748031496062992"/>
      <pageSetup paperSize="9" scale="48" fitToHeight="12" orientation="landscape" verticalDpi="144" r:id="rId26"/>
      <headerFooter alignWithMargins="0"/>
    </customSheetView>
    <customSheetView guid="{471079C8-6E8B-4088-8968-A7D0C5B8653D}" scale="85" fitToPage="1">
      <pane xSplit="2" ySplit="9" topLeftCell="C174" activePane="bottomRight" state="frozen"/>
      <selection pane="bottomRight" activeCell="C182" sqref="C182"/>
      <pageMargins left="0.19685039370078741" right="0.23622047244094491" top="0.19685039370078741" bottom="0.19685039370078741" header="0.15748031496062992" footer="0.15748031496062992"/>
      <pageSetup paperSize="9" scale="44" fitToHeight="12" orientation="landscape" horizontalDpi="120" verticalDpi="144" r:id="rId27"/>
      <headerFooter alignWithMargins="0"/>
    </customSheetView>
    <customSheetView guid="{A600D8D5-C13F-49F2-9D2C-FC8EA32AC551}" scale="90" showPageBreaks="1" view="pageBreakPreview">
      <pane xSplit="2" ySplit="7" topLeftCell="C263" activePane="bottomRight" state="frozen"/>
      <selection pane="bottomRight" activeCell="D264" sqref="D264"/>
      <pageMargins left="0.47244094488188981" right="0.23622047244094491" top="0.19685039370078741" bottom="0.19685039370078741" header="0.15748031496062992" footer="0.15748031496062992"/>
      <pageSetup paperSize="9" scale="47" fitToHeight="12" orientation="landscape" verticalDpi="144" r:id="rId28"/>
      <headerFooter differentFirst="1" alignWithMargins="0">
        <oddFooter>&amp;R&amp;P</oddFooter>
      </headerFooter>
    </customSheetView>
    <customSheetView guid="{868786DC-4C96-45F5-A272-3E03D4B934A0}" scale="58" showPageBreaks="1" fitToPage="1">
      <pane xSplit="2" ySplit="9" topLeftCell="C256" activePane="bottomRight" state="frozen"/>
      <selection pane="bottomRight" activeCell="G282" sqref="G282"/>
      <pageMargins left="0.19685039370078741" right="0.23622047244094491" top="0.19685039370078741" bottom="0.19685039370078741" header="0.15748031496062992" footer="0.15748031496062992"/>
      <pageSetup paperSize="9" scale="42" fitToHeight="12" orientation="landscape" horizontalDpi="120" verticalDpi="144" r:id="rId29"/>
      <headerFooter alignWithMargins="0"/>
    </customSheetView>
    <customSheetView guid="{8FB1E024-9866-4CAD-B900-0CCFEA27B234}" scale="75" showPageBreaks="1" fitToPage="1" printArea="1" showRuler="0">
      <pane xSplit="2" ySplit="9" topLeftCell="C120" activePane="bottomRight" state="frozen"/>
      <selection pane="bottomRight" activeCell="H134" sqref="H134"/>
      <pageMargins left="0.19685039370078741" right="0.23622047244094491" top="0.19685039370078741" bottom="0.19685039370078741" header="0.15748031496062992" footer="0.15748031496062992"/>
      <pageSetup paperSize="9" scale="43" fitToHeight="12" orientation="landscape" verticalDpi="144" r:id="rId30"/>
      <headerFooter alignWithMargins="0"/>
    </customSheetView>
    <customSheetView guid="{BE1C4A44-01B5-4ECE-8D55-C71095D37032}" scale="80" showPageBreaks="1" fitToPage="1">
      <pane xSplit="2" ySplit="9" topLeftCell="C118" activePane="bottomRight" state="frozen"/>
      <selection pane="bottomRight" activeCell="C120" sqref="C120"/>
      <pageMargins left="0.19685039370078741" right="0.23622047244094491" top="0.19685039370078741" bottom="0.19685039370078741" header="0.15748031496062992" footer="0.15748031496062992"/>
      <pageSetup paperSize="9" scale="29" fitToHeight="12" orientation="landscape" horizontalDpi="120" verticalDpi="144" r:id="rId31"/>
      <headerFooter alignWithMargins="0"/>
    </customSheetView>
    <customSheetView guid="{9BFA17BE-4413-48EA-8DFA-9D7972E1D966}" scale="85" showPageBreaks="1">
      <pane xSplit="2" ySplit="9" topLeftCell="C274" activePane="bottomRight" state="frozen"/>
      <selection pane="bottomRight" activeCell="D281" sqref="D281"/>
      <pageMargins left="0.19685039370078741" right="0.23622047244094491" top="0.19685039370078741" bottom="0.19685039370078741" header="0.15748031496062992" footer="0.15748031496062992"/>
      <pageSetup paperSize="9" scale="55" fitToHeight="12" orientation="landscape" horizontalDpi="120" verticalDpi="144" r:id="rId32"/>
      <headerFooter alignWithMargins="0"/>
    </customSheetView>
    <customSheetView guid="{FA039D92-C83F-438E-BA9D-917452CA1B7F}" scale="85" showPageBreaks="1" fitToPage="1">
      <pane xSplit="2" ySplit="9" topLeftCell="C240" activePane="bottomRight"/>
      <selection pane="bottomRight" activeCell="E242" sqref="E242"/>
      <pageMargins left="0.19685039370078741" right="0.23622047244094491" top="0.19685039370078741" bottom="0.19685039370078741" header="0.15748031496062992" footer="0.15748031496062992"/>
      <pageSetup paperSize="9" scale="28" fitToHeight="12" orientation="landscape" horizontalDpi="120" verticalDpi="144" r:id="rId33"/>
      <headerFooter alignWithMargins="0"/>
    </customSheetView>
    <customSheetView guid="{8DA01475-C6A0-4A19-B7EB-B1C704431492}" scale="70" showPageBreaks="1" fitToPage="1">
      <pane xSplit="2" ySplit="9" topLeftCell="C91" activePane="bottomRight" state="frozen"/>
      <selection pane="bottomRight" activeCell="A298" sqref="A298:J298"/>
      <pageMargins left="0.19685039370078741" right="0.23622047244094491" top="0.19685039370078741" bottom="0.19685039370078741" header="0.15748031496062992" footer="0.15748031496062992"/>
      <pageSetup paperSize="9" scale="28" fitToHeight="12" orientation="landscape" horizontalDpi="120" verticalDpi="144" r:id="rId34"/>
      <headerFooter alignWithMargins="0"/>
    </customSheetView>
    <customSheetView guid="{221AFC77-C97B-4D44-8163-7AA758A08BF9}" scale="71" showPageBreaks="1" fitToPage="1" printArea="1" showRuler="0">
      <pane ySplit="6" topLeftCell="A84" activePane="bottomLeft" state="frozen"/>
      <selection pane="bottomLeft" sqref="A1:XFD93"/>
      <pageMargins left="0.19685039370078741" right="0.23622047244094491" top="0.19685039370078741" bottom="0.19685039370078741" header="0.15748031496062992" footer="0.15748031496062992"/>
      <pageSetup paperSize="9" scale="48" fitToHeight="12" orientation="landscape" verticalDpi="144" r:id="rId35"/>
      <headerFooter alignWithMargins="0"/>
    </customSheetView>
    <customSheetView guid="{68CBFC64-03A4-4F74-B34E-EE1DB915A668}" scale="85" showPageBreaks="1" fitToPage="1">
      <pane xSplit="2" ySplit="9" topLeftCell="E110" activePane="bottomRight" state="frozen"/>
      <selection pane="bottomRight" activeCell="N112" sqref="N112"/>
      <pageMargins left="0.19685039370078741" right="0.23622047244094491" top="0.19685039370078741" bottom="0.19685039370078741" header="0.15748031496062992" footer="0.15748031496062992"/>
      <pageSetup paperSize="9" scale="10" orientation="landscape" verticalDpi="144" r:id="rId36"/>
      <headerFooter alignWithMargins="0"/>
    </customSheetView>
    <customSheetView guid="{675C859F-867B-4E3E-8283-3B2C94BFA5E5}" scale="80" showPageBreaks="1" fitToPage="1">
      <pane xSplit="2" ySplit="9" topLeftCell="C198" activePane="bottomRight" state="frozen"/>
      <selection pane="bottomRight" activeCell="H206" sqref="H206"/>
      <pageMargins left="0.19685039370078741" right="0.23622047244094491" top="0.19685039370078741" bottom="0.19685039370078741" header="0.15748031496062992" footer="0.15748031496062992"/>
      <pageSetup paperSize="9" scale="49" fitToHeight="12" orientation="landscape" horizontalDpi="120" verticalDpi="144" r:id="rId37"/>
      <headerFooter alignWithMargins="0"/>
    </customSheetView>
    <customSheetView guid="{2C18B72E-FABC-405E-9989-871873679CB9}" scale="85" showPageBreaks="1" fitToPage="1">
      <pane xSplit="2" ySplit="9" topLeftCell="C147" activePane="bottomRight" state="frozen"/>
      <selection pane="bottomRight" activeCell="B159" sqref="B159"/>
      <pageMargins left="0.19685039370078741" right="0.23622047244094491" top="0.19685039370078741" bottom="0.19685039370078741" header="0.15748031496062992" footer="0.15748031496062992"/>
      <pageSetup paperSize="9" scale="49" fitToHeight="12" orientation="landscape" horizontalDpi="120" verticalDpi="144" r:id="rId38"/>
      <headerFooter alignWithMargins="0"/>
    </customSheetView>
    <customSheetView guid="{EF32CA8F-131B-41F0-AA31-167807ADE2D4}" scale="85" showPageBreaks="1" fitToPage="1">
      <pane xSplit="2" ySplit="9" topLeftCell="C181" activePane="bottomRight" state="frozen"/>
      <selection pane="bottomRight" activeCell="C188" sqref="C188:F188"/>
      <pageMargins left="0.19685039370078741" right="0.23622047244094491" top="0.19685039370078741" bottom="0.19685039370078741" header="0.15748031496062992" footer="0.15748031496062992"/>
      <pageSetup paperSize="9" scale="29" fitToHeight="12" orientation="landscape" horizontalDpi="120" verticalDpi="144" r:id="rId39"/>
      <headerFooter alignWithMargins="0"/>
    </customSheetView>
    <customSheetView guid="{CFB0A04F-563D-4D2B-BCD3-ACFCDC70E584}" scale="85" showPageBreaks="1" fitToPage="1" hiddenRows="1">
      <pane xSplit="2" ySplit="119" topLeftCell="C196" activePane="bottomRight" state="frozen"/>
      <selection pane="bottomRight" activeCell="C204" sqref="C204"/>
      <pageMargins left="0.19685039370078741" right="0.23622047244094491" top="0.19685039370078741" bottom="0.19685039370078741" header="0.15748031496062992" footer="0.15748031496062992"/>
      <pageSetup paperSize="9" scale="29" fitToHeight="12" orientation="landscape" horizontalDpi="120" verticalDpi="144" r:id="rId40"/>
      <headerFooter alignWithMargins="0"/>
    </customSheetView>
    <customSheetView guid="{BC4BF63E-98F8-4CE0-B0DE-A2A71C291EFE}" scale="85" showPageBreaks="1">
      <pane xSplit="2" ySplit="9" topLeftCell="C273" activePane="bottomRight" state="frozen"/>
      <selection pane="bottomRight" activeCell="A280" sqref="A280:XFD280"/>
      <pageMargins left="0.19685039370078741" right="0.23622047244094491" top="0.19685039370078741" bottom="0.19685039370078741" header="0.15748031496062992" footer="0.15748031496062992"/>
      <pageSetup paperSize="9" scale="45" fitToHeight="12" orientation="landscape" horizontalDpi="120" verticalDpi="144" r:id="rId41"/>
      <headerFooter alignWithMargins="0"/>
    </customSheetView>
    <customSheetView guid="{06B33669-D909-4CD8-806F-33C009B9DF0A}" scale="75" showPageBreaks="1" fitToPage="1" printArea="1" topLeftCell="A5">
      <pane xSplit="2" ySplit="5" topLeftCell="C241" activePane="bottomRight" state="frozen"/>
      <selection pane="bottomRight" activeCell="G247" sqref="G247"/>
      <pageMargins left="0.19685039370078741" right="0.19685039370078741" top="1.1811023622047245" bottom="0.39370078740157483" header="0.15748031496062992" footer="0.15748031496062992"/>
      <printOptions horizontalCentered="1"/>
      <pageSetup paperSize="9" scale="49" fitToHeight="12" orientation="landscape" verticalDpi="144" r:id="rId42"/>
      <headerFooter alignWithMargins="0"/>
    </customSheetView>
    <customSheetView guid="{84AB9039-6109-4932-AA14-522BD4A30F0B}" scale="75" showPageBreaks="1" fitToPage="1">
      <pane xSplit="2" ySplit="9" topLeftCell="D243" activePane="bottomRight" state="frozen"/>
      <selection pane="bottomRight" activeCell="B254" sqref="B254"/>
      <pageMargins left="0.19685039370078741" right="0.23622047244094491" top="0.19685039370078741" bottom="0.19685039370078741" header="0.15748031496062992" footer="0.15748031496062992"/>
      <pageSetup paperSize="9" scale="49" fitToHeight="12" orientation="landscape" horizontalDpi="120" verticalDpi="144" r:id="rId43"/>
      <headerFooter alignWithMargins="0"/>
    </customSheetView>
    <customSheetView guid="{CFD58EC5-F475-4F0C-8822-861C497EA100}" scale="80" showPageBreaks="1" fitToPage="1" printArea="1">
      <pane xSplit="2" ySplit="5" topLeftCell="C288" activePane="bottomRight" state="frozen"/>
      <selection pane="bottomRight" activeCell="F306" sqref="F306"/>
      <pageMargins left="0.19685039370078741" right="0.23622047244094491" top="0.19685039370078741" bottom="0.19685039370078741" header="0.15748031496062992" footer="0.15748031496062992"/>
      <pageSetup paperSize="9" scale="49" fitToHeight="12" orientation="landscape" verticalDpi="144" r:id="rId44"/>
      <headerFooter alignWithMargins="0"/>
    </customSheetView>
    <customSheetView guid="{966D3932-E429-4C59-AC55-697D9EEA620A}" scale="65" showPageBreaks="1" fitToPage="1" printArea="1" showAutoFilter="1" view="pageBreakPreview">
      <selection activeCell="A2" sqref="A2:J2"/>
      <pageMargins left="0.19685039370078741" right="0.23622047244094491" top="0.19685039370078741" bottom="0.19685039370078741" header="0.15748031496062992" footer="0.15748031496062992"/>
      <pageSetup paperSize="9" scale="49" fitToHeight="12" orientation="landscape" verticalDpi="144" r:id="rId45"/>
      <headerFooter alignWithMargins="0"/>
      <autoFilter ref="A6:Z301" xr:uid="{A151F86A-BE95-414F-BA91-CC99F19B6995}"/>
    </customSheetView>
  </customSheetViews>
  <mergeCells count="10">
    <mergeCell ref="A293:B293"/>
    <mergeCell ref="A296:B296"/>
    <mergeCell ref="A291:J291"/>
    <mergeCell ref="A112:J112"/>
    <mergeCell ref="A2:J2"/>
    <mergeCell ref="C4:F4"/>
    <mergeCell ref="G4:J4"/>
    <mergeCell ref="A4:A5"/>
    <mergeCell ref="B4:B5"/>
    <mergeCell ref="A7:J7"/>
  </mergeCells>
  <phoneticPr fontId="1" type="noConversion"/>
  <pageMargins left="0.19685039370078741" right="0.23622047244094491" top="0.19685039370078741" bottom="0.19685039370078741" header="0.15748031496062992" footer="0.15748031496062992"/>
  <pageSetup paperSize="9" scale="49" fitToHeight="12" orientation="landscape" verticalDpi="144" r:id="rId4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загальне</vt:lpstr>
      <vt:lpstr>загальне!Заголовки_для_печати</vt:lpstr>
      <vt:lpstr>загальне!Область_печати</vt:lpstr>
    </vt:vector>
  </TitlesOfParts>
  <Company>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2025-10-22T10:59:14Z</cp:lastPrinted>
  <dcterms:created xsi:type="dcterms:W3CDTF">2001-02-08T10:51:36Z</dcterms:created>
  <dcterms:modified xsi:type="dcterms:W3CDTF">2025-11-11T09:41:58Z</dcterms:modified>
</cp:coreProperties>
</file>