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200" windowHeight="7350"/>
  </bookViews>
  <sheets>
    <sheet name="общее" sheetId="1" r:id="rId1"/>
    <sheet name="Лист1" sheetId="2" r:id="rId2"/>
  </sheets>
  <definedNames>
    <definedName name="_xlnm._FilterDatabase" localSheetId="0" hidden="1">общее!$A$5:$CL$290</definedName>
    <definedName name="Z_005F280F_9A8C_4D61_A462_F589D592D290_.wvu.FilterData" localSheetId="0" hidden="1">общее!$A$5:$J$295</definedName>
    <definedName name="Z_027FE178_1172_4222_AF5C_23D964AF488A_.wvu.FilterData" localSheetId="0" hidden="1">общее!$A$3:$J$5</definedName>
    <definedName name="Z_0344C8F5_CCC1_4DA4_B4BA_9CEFB0A093F3_.wvu.FilterData" localSheetId="0" hidden="1">общее!$A$5:$J$295</definedName>
    <definedName name="Z_0419BBFE_F3CF_4518_8D24_82FEA8B7DDD6_.wvu.FilterData" localSheetId="0" hidden="1">общее!$A$5:$J$473</definedName>
    <definedName name="Z_06B1F1AE_9936_453D_B440_89FD7733A859_.wvu.FilterData" localSheetId="0" hidden="1">общее!$A$5:$J$371</definedName>
    <definedName name="Z_06B33669_D909_4CD8_806F_33C009B9DF0A_.wvu.FilterData" localSheetId="0" hidden="1">общее!$A$5:$J$245</definedName>
    <definedName name="Z_08491732_1BAF_49CD_8956_D3E9C2B85304_.wvu.FilterData" localSheetId="0" hidden="1">общее!$A$5:$J$295</definedName>
    <definedName name="Z_09F33DD9_E062_4B93_90BA_A6E8876D9E62_.wvu.FilterData" localSheetId="0" hidden="1">общее!$A$3:$J$5</definedName>
    <definedName name="Z_0B19D168_858D_4BCF_80E5_C18DD77CBE9F_.wvu.FilterData" localSheetId="0" hidden="1">общее!$A$3:$J$5</definedName>
    <definedName name="Z_0BDDB9FE_C07B_4E21_8514_F3881AE78CD6_.wvu.FilterData" localSheetId="0" hidden="1">общее!$A$5:$J$295</definedName>
    <definedName name="Z_0C71E80D_0254_4693_A8EC_34A4BD1A6F73_.wvu.FilterData" localSheetId="0" hidden="1">общее!$A$3:$J$5</definedName>
    <definedName name="Z_0CBA335B_0DD8_471B_913E_91954D8A7DE8_.wvu.FilterData" localSheetId="0" hidden="1">общее!$A$5:$J$245</definedName>
    <definedName name="Z_0EDC1FFF_2611_4DAC_98A8_22EC25025967_.wvu.FilterData" localSheetId="0" hidden="1">общее!$A$5:$J$371</definedName>
    <definedName name="Z_0F954C44_2E2C_4880_A030_4864EA711FE0_.wvu.FilterData" localSheetId="0" hidden="1">общее!$A$5:$J$473</definedName>
    <definedName name="Z_16D4F077_2EAE_4B98_A742_A1CD9A7B633C_.wvu.FilterData" localSheetId="0" hidden="1">общее!$A$5:$J$371</definedName>
    <definedName name="Z_1748D69A_4DB3_487A_8AD7_C0B3B71D3FB6_.wvu.FilterData" localSheetId="0" hidden="1">общее!$A$3:$J$5</definedName>
    <definedName name="Z_1862B7E4_4060_4370_88AF_4829C34881B7_.wvu.FilterData" localSheetId="0" hidden="1">общее!$A$5:$J$473</definedName>
    <definedName name="Z_194CC79D_B426_45A9_B4B4_0D8713FDEBCE_.wvu.FilterData" localSheetId="0" hidden="1">общее!$A$5:$J$245</definedName>
    <definedName name="Z_1BA267BF_F5D4_4EB6_B077_27E074A28B2C_.wvu.FilterData" localSheetId="0" hidden="1">общее!$A$5:$J$473</definedName>
    <definedName name="Z_1BDFBE17_25BB_4BB9_B67F_4757B39B2D64_.wvu.FilterData" localSheetId="0" hidden="1">общее!$A$5:$J$245</definedName>
    <definedName name="Z_1BDFBE17_25BB_4BB9_B67F_4757B39B2D64_.wvu.Rows" localSheetId="0" hidden="1">общее!#REF!</definedName>
    <definedName name="Z_1D3F5B87_83EB_4F94_9B50_0C99177D99F9_.wvu.FilterData" localSheetId="0" hidden="1">общее!$A$5:$J$245</definedName>
    <definedName name="Z_1E3BB7AF_B756_4A0C_A2BE_D723B28D252A_.wvu.FilterData" localSheetId="0" hidden="1">общее!$A$5:$J$371</definedName>
    <definedName name="Z_1FC076B5_9648_483F_BBEB_68BAECB9E209_.wvu.FilterData" localSheetId="0" hidden="1">общее!$A$5:$J$245</definedName>
    <definedName name="Z_2021983A_3D6E_4804_9038_C33FE9EA644F_.wvu.FilterData" localSheetId="0" hidden="1">общее!$A$5:$J$371</definedName>
    <definedName name="Z_2140268D_DEA7_466F_AE25_EAEFFE2D0081_.wvu.FilterData" localSheetId="0" hidden="1">общее!$A$3:$J$5</definedName>
    <definedName name="Z_21651801_29AF_44DA_B88B_12DD75943577_.wvu.FilterData" localSheetId="0" hidden="1">общее!$A$5:$J$371</definedName>
    <definedName name="Z_221AFC77_C97B_4D44_8163_7AA758A08BF9_.wvu.FilterData" localSheetId="0" hidden="1">общее!$A$5:$J$245</definedName>
    <definedName name="Z_221AFC77_C97B_4D44_8163_7AA758A08BF9_.wvu.PrintArea" localSheetId="0" hidden="1">общее!$A$2:$J$234</definedName>
    <definedName name="Z_221AFC77_C97B_4D44_8163_7AA758A08BF9_.wvu.PrintTitles" localSheetId="0" hidden="1">общее!$5:$5</definedName>
    <definedName name="Z_23143807_1CCE_467D_8F79_FB088A4A08A4_.wvu.FilterData" localSheetId="0" hidden="1">общее!$A$5:$J$473</definedName>
    <definedName name="Z_24E8AEAA_06F7_460E_9064_DAA742C6F748_.wvu.FilterData" localSheetId="0" hidden="1">общее!$A$5:$J$245</definedName>
    <definedName name="Z_24F3E475_1A82_464A_A2B9_6272C75DE965_.wvu.FilterData" localSheetId="0" hidden="1">общее!$A$5:$J$473</definedName>
    <definedName name="Z_258565C2_6F7E_47DA_A97D_5DEA70489C65_.wvu.FilterData" localSheetId="0" hidden="1">общее!$A$5:$J$245</definedName>
    <definedName name="Z_2627E621_2724_4458_A97A_DA4867CC78C7_.wvu.FilterData" localSheetId="0" hidden="1">общее!$A$5:$J$295</definedName>
    <definedName name="Z_26302507_6225_4D5F_830E_9C0EA681B1F9_.wvu.FilterData" localSheetId="0" hidden="1">общее!$A$5:$J$473</definedName>
    <definedName name="Z_2A0A5548_2EEF_4469_A03C_FA481083CE33_.wvu.FilterData" localSheetId="0" hidden="1">общее!$A$5:$J$371</definedName>
    <definedName name="Z_2A4C0749_63B0_4D48_8771_593E99B870CF_.wvu.FilterData" localSheetId="0" hidden="1">общее!$A$5:$J$371</definedName>
    <definedName name="Z_2A873CA7_D1CE_4F50_B607_3E6930776CDE_.wvu.FilterData" localSheetId="0" hidden="1">общее!$A$5:$J$295</definedName>
    <definedName name="Z_2B716970_0AE9_4529_8009_3AC0E7738E74_.wvu.FilterData" localSheetId="0" hidden="1">общее!$A$5:$J$245</definedName>
    <definedName name="Z_2C16AC7D_1F05_4386_90A0_A2DA4836DDE1_.wvu.FilterData" localSheetId="0" hidden="1">общее!$A$5:$J$295</definedName>
    <definedName name="Z_2C18B72E_FABC_405E_9989_871873679CB9_.wvu.FilterData" localSheetId="0" hidden="1">общее!$A$5:$J$473</definedName>
    <definedName name="Z_2D1F835C_2905_49B2_ACB0_6B5DC39ABF77_.wvu.FilterData" localSheetId="0" hidden="1">общее!$A$5:$J$473</definedName>
    <definedName name="Z_2DB33E37_AA0F_4B4B_B7C9_A11BA792B878_.wvu.FilterData" localSheetId="0" hidden="1">общее!$A$3:$J$5</definedName>
    <definedName name="Z_2E403391_C63C_4844_B760_535E5B14235D_.wvu.FilterData" localSheetId="0" hidden="1">общее!$A$5:$J$295</definedName>
    <definedName name="Z_2EA6131F_89B6_4FC5_8D3F_2E657C0F9729_.wvu.FilterData" localSheetId="0" hidden="1">общее!$A$5:$J$295</definedName>
    <definedName name="Z_3054E370_5DE4_4F07_9AEC_8E1396CAD8D6_.wvu.FilterData" localSheetId="0" hidden="1">общее!$A$5:$J$371</definedName>
    <definedName name="Z_30EAEA67_9656_4874_9B82_0AE83C45AB26_.wvu.FilterData" localSheetId="0" hidden="1">общее!$A$5:$J$371</definedName>
    <definedName name="Z_315252D1_A60E_4446_B1ED_7AE241C4BB71_.wvu.FilterData" localSheetId="0" hidden="1">общее!$A$5:$J$371</definedName>
    <definedName name="Z_322077ED_714E_4730_9121_953073B8C43F_.wvu.FilterData" localSheetId="0" hidden="1">общее!$A$5:$J$244</definedName>
    <definedName name="Z_328CDE5C_E0E2_44CE_B73A_F70E81E6C6B2_.wvu.FilterData" localSheetId="0" hidden="1">общее!$A$5:$J$245</definedName>
    <definedName name="Z_33313D92_ACCC_472C_8066_C92558BED64F_.wvu.FilterData" localSheetId="0" hidden="1">общее!$A$5:$J$371</definedName>
    <definedName name="Z_33FCD28F_F474_4478_8228_BBE6129DFD33_.wvu.FilterData" localSheetId="0" hidden="1">общее!$A$5:$J$371</definedName>
    <definedName name="Z_36602011_6F80_4B7E_9881_FDB5866DE132_.wvu.FilterData" localSheetId="0" hidden="1">общее!$A$5:$J$473</definedName>
    <definedName name="Z_3824CD03_2F75_4531_8348_997F8B6518CE_.wvu.FilterData" localSheetId="0" hidden="1">общее!$A$5:$J$245</definedName>
    <definedName name="Z_3882A51E_FD17_4C10_93F2_F0C9B03BC730_.wvu.FilterData" localSheetId="0" hidden="1">общее!$A$5:$J$295</definedName>
    <definedName name="Z_39B9868C_0524_4A04_B50B_22CB89138F2C_.wvu.FilterData" localSheetId="0" hidden="1">общее!$A$5:$J$295</definedName>
    <definedName name="Z_3A3D386F_BF44_4CDF_AECB_A030233CF3BE_.wvu.FilterData" localSheetId="0" hidden="1">общее!$A$5:$J$473</definedName>
    <definedName name="Z_3B5575E9_696E_4E1F_8BBE_8483CF318052_.wvu.FilterData" localSheetId="0" hidden="1">общее!$A$3:$J$5</definedName>
    <definedName name="Z_3B5575E9_696E_4E1F_8BBE_8483CF318052_.wvu.PrintArea" localSheetId="0" hidden="1">общее!$A$2:$J$234</definedName>
    <definedName name="Z_3B5575E9_696E_4E1F_8BBE_8483CF318052_.wvu.PrintTitles" localSheetId="0" hidden="1">общее!$5:$5</definedName>
    <definedName name="Z_3F669C1C_24D3_4C3D_9A16_6C0219D100D3_.wvu.FilterData" localSheetId="0" hidden="1">общее!$A$3:$J$5</definedName>
    <definedName name="Z_40E0D498_E2F0_4E4C_AD04_0CCBD88738E3_.wvu.FilterData" localSheetId="0" hidden="1">общее!$A$5:$J$245</definedName>
    <definedName name="Z_40F66B3F_B1A0_4660_B7EC_2C8F1BD66B34_.wvu.FilterData" localSheetId="0" hidden="1">общее!$A$5:$J$371</definedName>
    <definedName name="Z_429899D9_5B00_46A4_8670_9042E5D6B3B9_.wvu.FilterData" localSheetId="0" hidden="1">общее!$A$5:$J$371</definedName>
    <definedName name="Z_429AA136_6142_4A99_977B_8067300179C4_.wvu.FilterData" localSheetId="0" hidden="1">общее!$A$5:$J$371</definedName>
    <definedName name="Z_43369FCC_2CCA_4665_99C7_275B440DE937_.wvu.FilterData" localSheetId="0" hidden="1">общее!$A$5:$J$295</definedName>
    <definedName name="Z_452C56A1_7A56_4ADE_A5CF_E260228787E3_.wvu.FilterData" localSheetId="0" hidden="1">общее!$A$3:$J$5</definedName>
    <definedName name="Z_452C56A1_7A56_4ADE_A5CF_E260228787E3_.wvu.PrintArea" localSheetId="0" hidden="1">общее!$A$2:$J$234</definedName>
    <definedName name="Z_452C56A1_7A56_4ADE_A5CF_E260228787E3_.wvu.PrintTitles" localSheetId="0" hidden="1">общее!$5:$5</definedName>
    <definedName name="Z_471079C8_6E8B_4088_8968_A7D0C5B8653D_.wvu.FilterData" localSheetId="0" hidden="1">общее!$A$5:$J$473</definedName>
    <definedName name="Z_47250A82_9F08_48A3_99F5_B1354F557BF5_.wvu.FilterData" localSheetId="0" hidden="1">общее!$A$5:$J$295</definedName>
    <definedName name="Z_48783A06_63D3_427A_A6E9_9592F9D916F6_.wvu.FilterData" localSheetId="0" hidden="1">общее!$A$5:$J$295</definedName>
    <definedName name="Z_4910244A_FD97_43F8_8121_7A39DEE7F6C3_.wvu.FilterData" localSheetId="0" hidden="1">общее!$A$5:$J$295</definedName>
    <definedName name="Z_495617EB_A9DC_44E1_A455_3D0079645590_.wvu.FilterData" localSheetId="0" hidden="1">общее!$A$5:$J$371</definedName>
    <definedName name="Z_4BC9F541_1AEB_4DA7_A0F9_3F6DB8D4E82B_.wvu.FilterData" localSheetId="0" hidden="1">общее!$A$5:$J$245</definedName>
    <definedName name="Z_4C9A721B_C5BE_4E52_A18E_0730E1D3B8FE_.wvu.FilterData" localSheetId="0" hidden="1">общее!$A$5:$J$371</definedName>
    <definedName name="Z_4CD9C922_19B5_419E_BD84_E209894B16C0_.wvu.FilterData" localSheetId="0" hidden="1">общее!$A$5:$J$371</definedName>
    <definedName name="Z_505D733E_455F_46B4_ACCC_4F218E555D81_.wvu.FilterData" localSheetId="0" hidden="1">общее!$A$5:$J$473</definedName>
    <definedName name="Z_5152B790_6528_48A7_ACFA_991FA35A233D_.wvu.FilterData" localSheetId="0" hidden="1">общее!$A$5:$J$295</definedName>
    <definedName name="Z_527D5B17_7578_4A0E_8233_A8DD6DE458C2_.wvu.FilterData" localSheetId="0" hidden="1">общее!$A$5:$J$371</definedName>
    <definedName name="Z_53234816_0120_4392_94AB_599CEA5C30B9_.wvu.FilterData" localSheetId="0" hidden="1">общее!$A$5:$J$473</definedName>
    <definedName name="Z_5512C256_B576_4E26_8E01_289925B9D9C4_.wvu.FilterData" localSheetId="0" hidden="1">общее!$A$3:$J$5</definedName>
    <definedName name="Z_561DE2D1_B0AE_4896_AA61_5926B88ED735_.wvu.FilterData" localSheetId="0" hidden="1">общее!$A$5:$J$245</definedName>
    <definedName name="Z_57216EB5_F285_4D3D_8804_F4C1447258E5_.wvu.FilterData" localSheetId="0" hidden="1">общее!$A$5:$J$371</definedName>
    <definedName name="Z_5776AEEC_9913_4217_814D_400CFE679C3E_.wvu.FilterData" localSheetId="0" hidden="1">общее!$A$5:$J$245</definedName>
    <definedName name="Z_59F9E859_7DBE_4B96_A969_63ADA1E07BFE_.wvu.FilterData" localSheetId="0" hidden="1">общее!$A$5:$J$295</definedName>
    <definedName name="Z_5A17F74F_9F13_46B8_8433_8D22469D4185_.wvu.FilterData" localSheetId="0" hidden="1">общее!$A$5:$J$473</definedName>
    <definedName name="Z_5D9BE3B7_C618_47DB_8F0E_D1DDB1705E6B_.wvu.FilterData" localSheetId="0" hidden="1">общее!$A$3:$J$5</definedName>
    <definedName name="Z_5EEB5DC5_097B_47D6_81BA_F19E1000B57E_.wvu.FilterData" localSheetId="0" hidden="1">общее!$A$5:$J$371</definedName>
    <definedName name="Z_5EEB5DC5_097B_47D6_81BA_F19E1000B57E_.wvu.PrintArea" localSheetId="0" hidden="1">общее!$A$2:$J$234</definedName>
    <definedName name="Z_5EEB5DC5_097B_47D6_81BA_F19E1000B57E_.wvu.PrintTitles" localSheetId="0" hidden="1">общее!$5:$5</definedName>
    <definedName name="Z_5F564DC4_F80E_44B3_9C12_EE313E4E872A_.wvu.FilterData" localSheetId="0" hidden="1">общее!$A$5:$J$245</definedName>
    <definedName name="Z_60012CAC_965D_4CFC_93A4_5CCD711B12F0_.wvu.FilterData" localSheetId="0" hidden="1">общее!$A$3:$J$5</definedName>
    <definedName name="Z_6149D971_6896_4099_83EB_61159C951281_.wvu.FilterData" localSheetId="0" hidden="1">общее!$A$5:$J$371</definedName>
    <definedName name="Z_65CADE76_9E13_43BF_B11F_E308EC288263_.wvu.FilterData" localSheetId="0" hidden="1">общее!$A$5:$J$371</definedName>
    <definedName name="Z_66A24AA4_A74D_49B7_A44D_9BC6D293F264_.wvu.FilterData" localSheetId="0" hidden="1">общее!$A$5:$J$245</definedName>
    <definedName name="Z_675C859F_867B_4E3E_8283_3B2C94BFA5E5_.wvu.FilterData" localSheetId="0" hidden="1">общее!$A$5:$J$245</definedName>
    <definedName name="Z_67E15AF4_B3D4_4F28_BA3A_4297C918EDE6_.wvu.FilterData" localSheetId="0" hidden="1">общее!$A$5:$J$245</definedName>
    <definedName name="Z_68CBFC64_03A4_4F74_B34E_EE1DB915A668_.wvu.FilterData" localSheetId="0" hidden="1">общее!$A$5:$J$245</definedName>
    <definedName name="Z_6A002B8B_DF15_47FE_8548_D0F88EB4EB77_.wvu.FilterData" localSheetId="0" hidden="1">общее!$A$5:$J$295</definedName>
    <definedName name="Z_6AE5F3A0_C632_4594_A73E_9DFBAB3F48DD_.wvu.FilterData" localSheetId="0" hidden="1">общее!$A$5:$J$295</definedName>
    <definedName name="Z_6DB878EC_F0AA_4EE0_8DBD_0D2F2413D073_.wvu.FilterData" localSheetId="0" hidden="1">общее!$A$5:$J$371</definedName>
    <definedName name="Z_6FCC1E26_8977_4950_8B87_CBE7C2A25ED8_.wvu.FilterData" localSheetId="0" hidden="1">общее!$A$5:$J$245</definedName>
    <definedName name="Z_7012C998_533E_4EDC_995F_53A252D8A143_.wvu.FilterData" localSheetId="0" hidden="1">общее!$A$5:$J$295</definedName>
    <definedName name="Z_713A662A_DFDD_43FB_A56E_1E210432D89D_.wvu.FilterData" localSheetId="0" hidden="1">общее!$A$5:$J$295</definedName>
    <definedName name="Z_716F213C_8FDB_4E7E_934B_B03987478AAA_.wvu.FilterData" localSheetId="0" hidden="1">общее!$A$5:$J$295</definedName>
    <definedName name="Z_72615B4A_0666_48DC_B3A0_332799C5347B_.wvu.FilterData" localSheetId="0" hidden="1">общее!$A$3:$J$5</definedName>
    <definedName name="Z_72EDDA2C_BFF2_4D48_A13B_2B9C46213374_.wvu.FilterData" localSheetId="0" hidden="1">общее!$A$5:$J$371</definedName>
    <definedName name="Z_743F23AC_8B5C_40B6_9ADD_B2B54B0B36A7_.wvu.FilterData" localSheetId="0" hidden="1">общее!$A$5:$J$371</definedName>
    <definedName name="Z_746B9BA0_2CAB_416E_B194_EC52DB1EC742_.wvu.FilterData" localSheetId="0" hidden="1">общее!$A$5:$J$371</definedName>
    <definedName name="Z_768BA9CF_2122_41A7_8903_ECE3A54B69F8_.wvu.FilterData" localSheetId="0" hidden="1">общее!$A$5:$J$473</definedName>
    <definedName name="Z_78D70EA8_5249_4DAA_AE4A_2D8FFFD697D9_.wvu.FilterData" localSheetId="0" hidden="1">общее!$A$5:$J$371</definedName>
    <definedName name="Z_795D5ECF_BF90_4F3E_A74E_B1A55C8421F2_.wvu.FilterData" localSheetId="0" hidden="1">общее!$A$5:$J$371</definedName>
    <definedName name="Z_7A2B4F7E_E736_4CE4_ACAF_AB2E1CDC2BED_.wvu.FilterData" localSheetId="0" hidden="1">общее!$A$5:$J$295</definedName>
    <definedName name="Z_7A936B14_3168_4319_80EC_9AB0E1E51913_.wvu.FilterData" localSheetId="0" hidden="1">общее!$A$5:$J$371</definedName>
    <definedName name="Z_7C69758B_CDC9_4874_B714_8DA98D7197DD_.wvu.FilterData" localSheetId="0" hidden="1">общее!$A$5:$J$371</definedName>
    <definedName name="Z_7C74E095_428E_48E8_A71D_0600250A46E8_.wvu.FilterData" localSheetId="0" hidden="1">общее!$A$5:$J$295</definedName>
    <definedName name="Z_7E5CD23C_5346_4E9D_BFA0_035B6BA3097B_.wvu.FilterData" localSheetId="0" hidden="1">общее!$A$5:$J$245</definedName>
    <definedName name="Z_7E83462C_2646_43F5_BA25_2D4B100EBEB1_.wvu.FilterData" localSheetId="0" hidden="1">общее!$A$5:$J$295</definedName>
    <definedName name="Z_7EDDA008_F905_436E_A980_951BDACDA577_.wvu.FilterData" localSheetId="0" hidden="1">общее!$A$3:$J$5</definedName>
    <definedName name="Z_7F2FA179_7E75_4D04_9C08_383F9EAE36E4_.wvu.FilterData" localSheetId="0" hidden="1">общее!$A$5:$J$371</definedName>
    <definedName name="Z_7F311C52_3815_4334_BC86_EFE1D9CF838D_.wvu.FilterData" localSheetId="0" hidden="1">общее!$A$5:$J$244</definedName>
    <definedName name="Z_81AB0083_9AC8_46E5_8989_3683179BE2CD_.wvu.FilterData" localSheetId="0" hidden="1">общее!$A$5:$J$295</definedName>
    <definedName name="Z_82778C3B_E039_40FB_9D6E_6C955809D3AF_.wvu.FilterData" localSheetId="0" hidden="1">общее!$A$5:$J$371</definedName>
    <definedName name="Z_82F7123C_C030_4534_8B46_822C4EBC62EC_.wvu.FilterData" localSheetId="0" hidden="1">общее!$A$5:$J$473</definedName>
    <definedName name="Z_82F7E495_211B_4D53_B382_DE1C7FAF3376_.wvu.FilterData" localSheetId="0" hidden="1">общее!$A$5:$J$473</definedName>
    <definedName name="Z_84291F06_C171_4BC3_846A_5B29D7A14C1B_.wvu.FilterData" localSheetId="0" hidden="1">общее!$A$5:$J$245</definedName>
    <definedName name="Z_84AB9039_6109_4932_AA14_522BD4A30F0B_.wvu.FilterData" localSheetId="0" hidden="1">общее!$A$5:$J$245</definedName>
    <definedName name="Z_85BFB728_94F1_4323_ACC8_9456F845AE11_.wvu.FilterData" localSheetId="0" hidden="1">общее!$A$5:$J$371</definedName>
    <definedName name="Z_85CA5D27_9304_4004_A8E8_6687AFFCC00A_.wvu.FilterData" localSheetId="0" hidden="1">общее!$A$5:$J$295</definedName>
    <definedName name="Z_868786DC_4C96_45F5_A272_3E03D4B934A0_.wvu.FilterData" localSheetId="0" hidden="1">общее!$A$5:$J$473</definedName>
    <definedName name="Z_8712F0EA_8AFD_45F0_99A0_31E181367C18_.wvu.FilterData" localSheetId="0" hidden="1">общее!$A$3:$J$5</definedName>
    <definedName name="Z_87307EED_7277_4B82_83B9_FD6EFB33210A_.wvu.FilterData" localSheetId="0" hidden="1">общее!$A$5:$J$371</definedName>
    <definedName name="Z_87B11953_FBBE_4422_B331_7A1407FEF2C2_.wvu.FilterData" localSheetId="0" hidden="1">общее!$A$5:$J$245</definedName>
    <definedName name="Z_8AD8908B_5409_470D_AEE7_01A535707576_.wvu.FilterData" localSheetId="0" hidden="1">общее!$A$5:$J$295</definedName>
    <definedName name="Z_8BA1F70D_2590_40B0_8F4D_CC37D4F962D2_.wvu.FilterData" localSheetId="0" hidden="1">общее!$A$5:$J$371</definedName>
    <definedName name="Z_8DA01475_C6A0_4A19_B7EB_B1C704431492_.wvu.FilterData" localSheetId="0" hidden="1">общее!$A$5:$J$295</definedName>
    <definedName name="Z_8E60DEEE_B29D_4EEA_B25A_DB1975B13507_.wvu.FilterData" localSheetId="0" hidden="1">общее!$A$5:$J$473</definedName>
    <definedName name="Z_8F5BBF1A_FC79_4BB3_97F0_50B619130E26_.wvu.FilterData" localSheetId="0" hidden="1">общее!$A$5:$J$295</definedName>
    <definedName name="Z_8FB1E024_9866_4CAD_B900_0CCFEA27B234_.wvu.FilterData" localSheetId="0" hidden="1">общее!$A$5:$J$295</definedName>
    <definedName name="Z_8FB1E024_9866_4CAD_B900_0CCFEA27B234_.wvu.PrintArea" localSheetId="0" hidden="1">общее!$A$2:$J$234</definedName>
    <definedName name="Z_8FB1E024_9866_4CAD_B900_0CCFEA27B234_.wvu.PrintTitles" localSheetId="0" hidden="1">общее!$5:$5</definedName>
    <definedName name="Z_90104242_D578_485A_91E2_ACB42B11755F_.wvu.FilterData" localSheetId="0" hidden="1">общее!$A$5:$J$371</definedName>
    <definedName name="Z_90518B97_7307_4173_A97E_975285B914B1_.wvu.FilterData" localSheetId="0" hidden="1">общее!$A$5:$J$295</definedName>
    <definedName name="Z_909763BC_F63D_4E79_B4F6_FCE1E0BE71C6_.wvu.FilterData" localSheetId="0" hidden="1">общее!$A$5:$CL$290</definedName>
    <definedName name="Z_909763BC_F63D_4E79_B4F6_FCE1E0BE71C6_.wvu.PrintArea" localSheetId="0" hidden="1">общее!$A$1:$J$245</definedName>
    <definedName name="Z_925CFE27_E1C6_48F7_AA2E_4E47C240CFE1_.wvu.FilterData" localSheetId="0" hidden="1">общее!$A$5:$J$295</definedName>
    <definedName name="Z_93443DB4_16CC_4115_8132_074F13427393_.wvu.FilterData" localSheetId="0" hidden="1">общее!$A$5:$J$244</definedName>
    <definedName name="Z_93A13551_3E8E_4065_89A7_310AA9E7AE54_.wvu.FilterData" localSheetId="0" hidden="1">общее!$A$5:$J$371</definedName>
    <definedName name="Z_94F9C593_9DE2_4EC4_AFA3_39D38CF2BB33_.wvu.FilterData" localSheetId="0" hidden="1">общее!$A$5:$J$244</definedName>
    <definedName name="Z_95A7493F_2B11_406A_BB91_458FD9DC3BAE_.wvu.FilterData" localSheetId="0" hidden="1">общее!$A$5:$J$245</definedName>
    <definedName name="Z_95A7493F_2B11_406A_BB91_458FD9DC3BAE_.wvu.PrintArea" localSheetId="0" hidden="1">общее!$A$2:$J$234</definedName>
    <definedName name="Z_95A7493F_2B11_406A_BB91_458FD9DC3BAE_.wvu.PrintTitles" localSheetId="0" hidden="1">общее!$5:$5</definedName>
    <definedName name="Z_966D3932_E429_4C59_AC55_697D9EEA620A_.wvu.FilterData" localSheetId="0" hidden="1">общее!$A$5:$J$295</definedName>
    <definedName name="Z_966D3932_E429_4C59_AC55_697D9EEA620A_.wvu.PrintArea" localSheetId="0" hidden="1">общее!$A$2:$J$242</definedName>
    <definedName name="Z_966D3932_E429_4C59_AC55_697D9EEA620A_.wvu.PrintTitles" localSheetId="0" hidden="1">общее!$5:$5</definedName>
    <definedName name="Z_967F1A8A_48DD_4277_A863_3849576B72D0_.wvu.FilterData" localSheetId="0" hidden="1">общее!$A$5:$J$295</definedName>
    <definedName name="Z_982FB0F3_EEED_4A35_8AE0_8012B631E660_.wvu.FilterData" localSheetId="0" hidden="1">общее!$A$5:$J$245</definedName>
    <definedName name="Z_998E5F34_5F22_456C_AF6B_44B849DA5E75_.wvu.FilterData" localSheetId="0" hidden="1">общее!$A$5:$J$244</definedName>
    <definedName name="Z_9BFA17BE_4413_48EA_8DFA_9D7972E1D966_.wvu.FilterData" localSheetId="0" hidden="1">общее!$A$5:$J$295</definedName>
    <definedName name="Z_9DB42EA6_6F33_4055_AFFC_2CB330A83BF6_.wvu.FilterData" localSheetId="0" hidden="1">общее!$A$5:$J$244</definedName>
    <definedName name="Z_9E613866_5B9C_47D7_AFA4_58928D3C6E62_.wvu.FilterData" localSheetId="0" hidden="1">общее!$A$5:$J$295</definedName>
    <definedName name="Z_9EB09BA5_1A06_464B_9D4E_3EF1374F6659_.wvu.FilterData" localSheetId="0" hidden="1">общее!$A$5:$J$244</definedName>
    <definedName name="Z_9F241BF9_3E2B_4BDD_B26A_F89F327E72C3_.wvu.FilterData" localSheetId="0" hidden="1">общее!$A$5:$J$245</definedName>
    <definedName name="Z_9FE2B88C_FF56_4DEE_8B84_1ADFBBB1D084_.wvu.FilterData" localSheetId="0" hidden="1">общее!$A$5:$J$473</definedName>
    <definedName name="Z_A274E916_0616_4798_8975_3911D43C14F5_.wvu.FilterData" localSheetId="0" hidden="1">общее!$A$5:$J$371</definedName>
    <definedName name="Z_A2AC5481_37D4_4229_BD4F_7BED984BFF61_.wvu.FilterData" localSheetId="0" hidden="1">общее!$A$5:$J$245</definedName>
    <definedName name="Z_A330E7CE_1B63_4807_AC38_5251AE03B568_.wvu.FilterData" localSheetId="0" hidden="1">общее!$A$5:$J$473</definedName>
    <definedName name="Z_A5BD67D1_5F1C_472E_9385_9177CF38402F_.wvu.FilterData" localSheetId="0" hidden="1">общее!$A$5:$J$295</definedName>
    <definedName name="Z_A600D8D5_C13F_49F2_9D2C_FC8EA32AC551_.wvu.FilterData" localSheetId="0" hidden="1">общее!$A$5:$J$473</definedName>
    <definedName name="Z_A600D8D5_C13F_49F2_9D2C_FC8EA32AC551_.wvu.PrintTitles" localSheetId="0" hidden="1">общее!$5:$5</definedName>
    <definedName name="Z_A75085A3_4AC1_49B5_8DC1_19942A878723_.wvu.FilterData" localSheetId="0" hidden="1">общее!$A$5:$J$371</definedName>
    <definedName name="Z_A7A42B55_9F6C_4A34_BF88_539458839798_.wvu.FilterData" localSheetId="0" hidden="1">общее!$A$5:$J$245</definedName>
    <definedName name="Z_A9CB6613_36BA_46BF_9FA8_AEAB37393612_.wvu.FilterData" localSheetId="0" hidden="1">общее!$A$5:$J$295</definedName>
    <definedName name="Z_AA3BE0DE_1363_4DDA_934E_FD9CAE988533_.wvu.FilterData" localSheetId="0" hidden="1">общее!$A$5:$J$371</definedName>
    <definedName name="Z_AA5DB17E_D4B9_49C8_96A5_D22053C6C5B1_.wvu.FilterData" localSheetId="0" hidden="1">общее!$A$5:$J$295</definedName>
    <definedName name="Z_ACBA7AB7_E5BF_4817_ACF6_DA5FB388AD46_.wvu.FilterData" localSheetId="0" hidden="1">общее!$A$5:$J$371</definedName>
    <definedName name="Z_AEABEE2C_6038_47D9_81A7_15110E43218C_.wvu.FilterData" localSheetId="0" hidden="1">общее!$A$5:$J$371</definedName>
    <definedName name="Z_B0CF427B_E64B_46A6_97A4_9B49090FE4BE_.wvu.FilterData" localSheetId="0" hidden="1">общее!$A$5:$J$371</definedName>
    <definedName name="Z_B0D300EE_CE3D_4267_8F4B_3D65D54915E1_.wvu.FilterData" localSheetId="0" hidden="1">общее!$A$5:$J$245</definedName>
    <definedName name="Z_B2319D0F_B5B7_4B85_B31D_3FEB7916998F_.wvu.FilterData" localSheetId="0" hidden="1">общее!$A$5:$J$473</definedName>
    <definedName name="Z_B31E6874_4FC0_47ED_8042_8593070B2CD6_.wvu.FilterData" localSheetId="0" hidden="1">общее!$A$5:$J$245</definedName>
    <definedName name="Z_B4997D58_BD25_4440_9383_3C887D277BCF_.wvu.FilterData" localSheetId="0" hidden="1">общее!$A$5:$J$371</definedName>
    <definedName name="Z_B55746B5_6CDF_443B_8C7F_8F8A1DC5562E_.wvu.FilterData" localSheetId="0" hidden="1">общее!$A$5:$J$473</definedName>
    <definedName name="Z_B607774B_B68E_4DBE_B4D4_274DD101B3B3_.wvu.FilterData" localSheetId="0" hidden="1">общее!$A$3:$J$5</definedName>
    <definedName name="Z_B637BC8F_E49F_4D36_BA7E_87587BAEF462_.wvu.FilterData" localSheetId="0" hidden="1">общее!$A$5:$J$371</definedName>
    <definedName name="Z_B8AC68F9_618C_4990_B101_9BD7FB1FCD22_.wvu.FilterData" localSheetId="0" hidden="1">общее!$A$3:$J$5</definedName>
    <definedName name="Z_B9D2896B_3D46_4E80_A333_D35EE8923B5F_.wvu.FilterData" localSheetId="0" hidden="1">общее!$A$5:$J$295</definedName>
    <definedName name="Z_BA1D743D_8CD7_4C01_B0E4_1729D2189C73_.wvu.FilterData" localSheetId="0" hidden="1">общее!$A$5:$J$295</definedName>
    <definedName name="Z_BB4DF29A_3635_4350_9E09_BBEF363FC239_.wvu.FilterData" localSheetId="0" hidden="1">общее!$A$3:$J$5</definedName>
    <definedName name="Z_BC4BF63E_98F8_4CE0_B0DE_A2A71C291EFE_.wvu.FilterData" localSheetId="0" hidden="1">общее!$A$5:$J$295</definedName>
    <definedName name="Z_BC735923_D0EA_47FD_9B99_A44B26AB32B8_.wvu.FilterData" localSheetId="0" hidden="1">общее!$A$5:$J$245</definedName>
    <definedName name="Z_BE1C4A44_01B5_4ECE_8D55_C71095D37032_.wvu.FilterData" localSheetId="0" hidden="1">общее!$A$5:$J$295</definedName>
    <definedName name="Z_BED4F540_47A7_459B_8414_21EF84302EA3_.wvu.FilterData" localSheetId="0" hidden="1">общее!$A$5:$J$371</definedName>
    <definedName name="Z_BF36043A_AFA1_4ED6_B54F_F4173C55E31C_.wvu.FilterData" localSheetId="0" hidden="1">общее!$A$5:$J$371</definedName>
    <definedName name="Z_BF57B08F_2B48_4EE9_9ADD_06D6906608C1_.wvu.FilterData" localSheetId="0" hidden="1">общее!$A$5:$J$473</definedName>
    <definedName name="Z_C105019C_D493_4AF2_B08B_98003C4FEF9B_.wvu.FilterData" localSheetId="0" hidden="1">общее!$A$5:$J$371</definedName>
    <definedName name="Z_C172C42A_B6A9_490D_905B_14F6BA2DCBCA_.wvu.FilterData" localSheetId="0" hidden="1">общее!$A$5:$J$295</definedName>
    <definedName name="Z_C32A6808_4BDA_43E4_ACD1_1B0FCC0DA219_.wvu.FilterData" localSheetId="0" hidden="1">общее!$A$5:$J$371</definedName>
    <definedName name="Z_C343756C_7EBC_41EB_89B6_11C31F46AD7D_.wvu.FilterData" localSheetId="0" hidden="1">общее!$A$5:$J$371</definedName>
    <definedName name="Z_C4185438_74E2_4EE2_8A94_BE1F1EE5C2A4_.wvu.FilterData" localSheetId="0" hidden="1">общее!$A$5:$J$245</definedName>
    <definedName name="Z_C4269454_1D3D_4937_A7DB_6BFDB690E1BF_.wvu.FilterData" localSheetId="0" hidden="1">общее!$A$5:$J$371</definedName>
    <definedName name="Z_C4A91C4C_4FDF_4528_B780_BABD8261F89B_.wvu.FilterData" localSheetId="0" hidden="1">общее!$A$5:$J$244</definedName>
    <definedName name="Z_C5AC499E_0359_4E1F_94CE_578AF2A54734_.wvu.FilterData" localSheetId="0" hidden="1">общее!$A$5:$J$473</definedName>
    <definedName name="Z_C5DD2CEF_6DC9_42B9_B991_658B57CBD712_.wvu.FilterData" localSheetId="0" hidden="1">общее!$A$5:$J$473</definedName>
    <definedName name="Z_C7FD81BD_691B_4A89_96A0_CDABC50081E4_.wvu.FilterData" localSheetId="0" hidden="1">общее!$A$5:$J$371</definedName>
    <definedName name="Z_C8489D43_32B9_4349_973B_9C94F0536721_.wvu.FilterData" localSheetId="0" hidden="1">общее!$A$5:$J$473</definedName>
    <definedName name="Z_C920DB58_DB5D_4286_8169_C2AA2ED89A9A_.wvu.FilterData" localSheetId="0" hidden="1">общее!$A$5:$J$295</definedName>
    <definedName name="Z_CA8983D9_E565_4991_B76C_F6D76E63663C_.wvu.FilterData" localSheetId="0" hidden="1">общее!$A$5:$J$245</definedName>
    <definedName name="Z_CC0A6F72_A956_4FF0_A9CF_B2F133844683_.wvu.FilterData" localSheetId="0" hidden="1">общее!$A$5:$J$371</definedName>
    <definedName name="Z_CF069AD8_C6E4_40EE_85C1_CD44D38BC77F_.wvu.FilterData" localSheetId="0" hidden="1">общее!$A$5:$J$244</definedName>
    <definedName name="Z_CF1EFC15_1276_44E9_B8E0_6069FE1FC094_.wvu.FilterData" localSheetId="0" hidden="1">общее!$A$5:$J$371</definedName>
    <definedName name="Z_CFB0A04F_563D_4D2B_BCD3_ACFCDC70E584_.wvu.FilterData" localSheetId="0" hidden="1">общее!$A$5:$J$295</definedName>
    <definedName name="Z_CFB0A04F_563D_4D2B_BCD3_ACFCDC70E584_.wvu.Rows" localSheetId="0" hidden="1">общее!$6:$100,общее!$102:$109</definedName>
    <definedName name="Z_CFD58EC5_F475_4F0C_8822_861C497EA100_.wvu.FilterData" localSheetId="0" hidden="1">общее!$A$5:$J$245</definedName>
    <definedName name="Z_CFD58EC5_F475_4F0C_8822_861C497EA100_.wvu.PrintArea" localSheetId="0" hidden="1">общее!$A$1:$J$245</definedName>
    <definedName name="Z_CFD58EC5_F475_4F0C_8822_861C497EA100_.wvu.PrintTitles" localSheetId="0" hidden="1">общее!$5:$5</definedName>
    <definedName name="Z_CFD58EC5_F475_4F0C_8822_861C497EA100_.wvu.Rows" localSheetId="0" hidden="1">общее!#REF!</definedName>
    <definedName name="Z_D0621073_25BE_47D7_AC33_51146458D41C_.wvu.FilterData" localSheetId="0" hidden="1">общее!$A$5:$J$245</definedName>
    <definedName name="Z_D10FBD64_4601_40D8_BA69_F0EA6D3ED846_.wvu.FilterData" localSheetId="0" hidden="1">общее!$A$5:$J$295</definedName>
    <definedName name="Z_D14B1F1D_6F0E_49B1_92FB_6E5D79228E22_.wvu.FilterData" localSheetId="0" hidden="1">общее!$A$5:$J$371</definedName>
    <definedName name="Z_D196F711_2A18_4840_9CDF_97770F3C341D_.wvu.FilterData" localSheetId="0" hidden="1">общее!$A$5:$J$245</definedName>
    <definedName name="Z_D3BF9972_335A_4BF6_985A_3FAFB12859F0_.wvu.FilterData" localSheetId="0" hidden="1">общее!$A$5:$J$295</definedName>
    <definedName name="Z_D3FC038B_D1F5_4CDD_BF89_B0BF2773CD42_.wvu.FilterData" localSheetId="0" hidden="1">общее!$A$3:$J$5</definedName>
    <definedName name="Z_D4E8D1A3_1CF7_4E9F_8E3E_76E99A013BCC_.wvu.FilterData" localSheetId="0" hidden="1">общее!$A$5:$J$371</definedName>
    <definedName name="Z_D5681C61_0984_4C5B_9D67_8EE316AD015C_.wvu.FilterData" localSheetId="0" hidden="1">общее!$A$5:$J$371</definedName>
    <definedName name="Z_D64EF95C_79C4_46AC_AC41_4006BE2579BA_.wvu.FilterData" localSheetId="0" hidden="1">общее!$A$5:$J$371</definedName>
    <definedName name="Z_D6C9B499_8D30_4283_AE2A_B58ABDEBA548_.wvu.FilterData" localSheetId="0" hidden="1">общее!$A$5:$J$473</definedName>
    <definedName name="Z_D99C893A_0D9F_4F69_B1E5_4BCEB72F4291_.wvu.FilterData" localSheetId="0" hidden="1">общее!$A$3:$J$5</definedName>
    <definedName name="Z_DB146771_765B_4EDB_AC76_D56707AD72CF_.wvu.FilterData" localSheetId="0" hidden="1">общее!$A$5:$J$371</definedName>
    <definedName name="Z_DBF8F6A4_7388_4C5F_8609_AD47282385A6_.wvu.FilterData" localSheetId="0" hidden="1">общее!$A$5:$J$473</definedName>
    <definedName name="Z_DE0623D9_75DF_4C41_AF3E_5381C2A8629F_.wvu.FilterData" localSheetId="0" hidden="1">общее!$A$5:$J$371</definedName>
    <definedName name="Z_DE2034B5_D274_41CF_AE24_6339ACF79613_.wvu.FilterData" localSheetId="0" hidden="1">общее!$A$5:$J$245</definedName>
    <definedName name="Z_DEE728ED_1133_4DAB_BC02_158A35CECBC6_.wvu.FilterData" localSheetId="0" hidden="1">общее!$A$5:$J$245</definedName>
    <definedName name="Z_DFF3F719_2855_42BC_ACEB_8441420613B1_.wvu.FilterData" localSheetId="0" hidden="1">общее!$A$5:$J$295</definedName>
    <definedName name="Z_E147D13D_D04D_431E_888C_5A9AE670FC44_.wvu.FilterData" localSheetId="0" hidden="1">общее!$A$3:$J$5</definedName>
    <definedName name="Z_E147D13D_D04D_431E_888C_5A9AE670FC44_.wvu.PrintTitles" localSheetId="0" hidden="1">общее!$5:$5</definedName>
    <definedName name="Z_E1663454_FD8A_4EB7_8B04_ADE04D736B77_.wvu.FilterData" localSheetId="0" hidden="1">общее!$A$5:$J$371</definedName>
    <definedName name="Z_E3334516_B3FD_45B9_AB64_DFED61082F84_.wvu.FilterData" localSheetId="0" hidden="1">общее!$A$5:$J$371</definedName>
    <definedName name="Z_E3983C1A_AB41_491B_B4D8_ECB97796B009_.wvu.FilterData" localSheetId="0" hidden="1">общее!$A$5:$J$371</definedName>
    <definedName name="Z_E418290D_2076_47BD_8438_6673CF24E35A_.wvu.FilterData" localSheetId="0" hidden="1">общее!$A$5:$J$371</definedName>
    <definedName name="Z_EA8E6D18_68D7_4389_88CB_3C3027AB668A_.wvu.FilterData" localSheetId="0" hidden="1">общее!$A$5:$J$473</definedName>
    <definedName name="Z_ED5AC437_1F65_441E_BBEA_F88D9FEA1BA8_.wvu.FilterData" localSheetId="0" hidden="1">общее!$A$5:$J$295</definedName>
    <definedName name="Z_EE3611DB_BB9A_42C8_98CA_2B323AB8FB7B_.wvu.FilterData" localSheetId="0" hidden="1">общее!$A$5:$J$371</definedName>
    <definedName name="Z_EF32CA8F_131B_41F0_AA31_167807ADE2D4_.wvu.FilterData" localSheetId="0" hidden="1">общее!$A$5:$J$245</definedName>
    <definedName name="Z_EFD63851_2976_4987_8539_F3FE3A991088_.wvu.FilterData" localSheetId="0" hidden="1">общее!$A$5:$J$371</definedName>
    <definedName name="Z_F06ACB63_A424_47E0_8092_CCE891CCD225_.wvu.FilterData" localSheetId="0" hidden="1">общее!$A$3:$J$5</definedName>
    <definedName name="Z_F09B8F21_CFBA_4144_8BE7_F13B0A684312_.wvu.FilterData" localSheetId="0" hidden="1">общее!$A$5:$J$245</definedName>
    <definedName name="Z_F14D494F_E5E8_4E8F_99A5_E5D0EE7C4CD1_.wvu.FilterData" localSheetId="0" hidden="1">общее!$A$5:$J$295</definedName>
    <definedName name="Z_F35C19AC_1AD8_4B98_9E5C_812DA7490AFD_.wvu.FilterData" localSheetId="0" hidden="1">общее!$A$5:$J$295</definedName>
    <definedName name="Z_F5149A81_C534_4D57_8E28_ACCC96AC9AC3_.wvu.FilterData" localSheetId="0" hidden="1">общее!$A$5:$J$371</definedName>
    <definedName name="Z_F5211A6A_EE37_46DC_9C2C_FBE0CAB7604C_.wvu.FilterData" localSheetId="0" hidden="1">общее!$A$3:$J$5</definedName>
    <definedName name="Z_F63B9AFD_D8B0_4F8C_A0C2_8214DCA948D7_.wvu.FilterData" localSheetId="0" hidden="1">общее!$A$5:$J$245</definedName>
    <definedName name="Z_F6991520_2C3B_4C21_9197_8515F05E79C7_.wvu.FilterData" localSheetId="0" hidden="1">общее!$A$5:$J$371</definedName>
    <definedName name="Z_F73173ED_9D02_4835_8031_F71A7D33ECA6_.wvu.FilterData" localSheetId="0" hidden="1">общее!$A$5:$J$473</definedName>
    <definedName name="Z_F9324F9E_6E0D_484A_B1A6_F87CCAA93894_.wvu.FilterData" localSheetId="0" hidden="1">общее!$A$5:$J$295</definedName>
    <definedName name="Z_F9544812_EB32_433B_BB14_D909670E9E5D_.wvu.FilterData" localSheetId="0" hidden="1">общее!$A$5:$J$295</definedName>
    <definedName name="Z_F9CD2061_D224_494A_B06D_1C81E6930B04_.wvu.FilterData" localSheetId="0" hidden="1">общее!$A$5:$J$244</definedName>
    <definedName name="Z_F9D2B861_A6DF_4E58_9205_20667B07345D_.wvu.FilterData" localSheetId="0" hidden="1">общее!$A$5:$J$371</definedName>
    <definedName name="Z_FA039D92_C83F_438E_BA9D_917452CA1B7F_.wvu.FilterData" localSheetId="0" hidden="1">общее!$A$5:$J$295</definedName>
    <definedName name="Z_FDA91638_7DD6_48C3_8AC3_AA44420F30D7_.wvu.FilterData" localSheetId="0" hidden="1">общее!$A$5:$J$245</definedName>
    <definedName name="Z_FF1C8053_6325_4562_BDE7_81A6D9BCDD2B_.wvu.FilterData" localSheetId="0" hidden="1">общее!$A$5:$J$244</definedName>
    <definedName name="Z_FF9353E4_7543_4700_982C_B41C9ACB3ADF_.wvu.FilterData" localSheetId="0" hidden="1">общее!$A$5:$J$245</definedName>
    <definedName name="Z_FFB47FFE_A5E4_419A_BD39_DDC70DF4F5D4_.wvu.FilterData" localSheetId="0" hidden="1">общее!$A$5:$J$295</definedName>
    <definedName name="_xlnm.Print_Area" localSheetId="0">общее!$A$1:$J$245</definedName>
  </definedNames>
  <calcPr calcId="124519"/>
  <customWorkbookViews>
    <customWorkbookView name="User416a - Личное представление" guid="{CFD58EC5-F475-4F0C-8822-861C497EA100}" mergeInterval="0" personalView="1" maximized="1" xWindow="1" yWindow="1" windowWidth="1920" windowHeight="850" tabRatio="563" activeSheetId="1"/>
    <customWorkbookView name="User459c - Личное представление" guid="{84AB9039-6109-4932-AA14-522BD4A30F0B}" mergeInterval="0" personalView="1" maximized="1" xWindow="1" yWindow="1" windowWidth="1920" windowHeight="802" activeSheetId="1"/>
    <customWorkbookView name="User465d - Личное представление" guid="{D0621073-25BE-47D7-AC33-51146458D41C}" mergeInterval="0" personalView="1" maximized="1" xWindow="1" yWindow="1" windowWidth="1920" windowHeight="850" activeSheetId="1"/>
    <customWorkbookView name="User563c - Личное представление" guid="{675C859F-867B-4E3E-8283-3B2C94BFA5E5}" mergeInterval="0" personalView="1" maximized="1" xWindow="1" yWindow="1" windowWidth="1920" windowHeight="802" activeSheetId="1"/>
    <customWorkbookView name="user457a - Личное представление" guid="{1BDFBE17-25BB-4BB9-B67F-4757B39B2D64}" mergeInterval="0" personalView="1" maximized="1" xWindow="1" yWindow="1" windowWidth="1916" windowHeight="810" activeSheetId="1"/>
    <customWorkbookView name="user565f - Личное представление" guid="{713A662A-DFDD-43FB-A56E-1E210432D89D}" mergeInterval="0" personalView="1" maximized="1" xWindow="1" yWindow="1" windowWidth="1920" windowHeight="850" activeSheetId="1"/>
    <customWorkbookView name="User463d - Личное представление" guid="{F9324F9E-6E0D-484A-B1A6-F87CCAA93894}" mergeInterval="0" personalView="1" maximized="1" xWindow="1" yWindow="1" windowWidth="1920" windowHeight="850" activeSheetId="1"/>
    <customWorkbookView name="User416b - Личное представление" guid="{90518B97-7307-4173-A97E-975285B914B1}" mergeInterval="0" personalView="1" maximized="1" xWindow="1" yWindow="1" windowWidth="1920" windowHeight="850" activeSheetId="1"/>
    <customWorkbookView name="user416c - Личное представление" guid="{966D3932-E429-4C59-AC55-697D9EEA620A}" mergeInterval="0" personalView="1" maximized="1" xWindow="1" yWindow="1" windowWidth="1920" windowHeight="784" activeSheetId="1"/>
    <customWorkbookView name="User465e - Личное представление" guid="{2C18B72E-FABC-405E-9989-871873679CB9}" mergeInterval="0" personalView="1" maximized="1" xWindow="1" yWindow="1" windowWidth="1920" windowHeight="850" activeSheetId="1"/>
    <customWorkbookView name="User563b - Личное представление" guid="{8112C56A-816E-41B5-AC5C-5C34336EE27C}" mergeInterval="0" personalView="1" maximized="1" xWindow="-9" yWindow="-9" windowWidth="1938" windowHeight="1048" activeSheetId="1"/>
    <customWorkbookView name="User56a - Личное представление" guid="{B0CF427B-E64B-46A6-97A4-9B49090FE4BE}" mergeInterval="0" personalView="1" maximized="1" xWindow="-8" yWindow="-8" windowWidth="1936" windowHeight="1056" activeSheetId="1"/>
    <customWorkbookView name="Microsoft - Личное представление" guid="{72EDDA2C-BFF2-4D48-A13B-2B9C46213374}" mergeInterval="0" personalView="1" maximized="1" xWindow="1" yWindow="1" windowWidth="1366" windowHeight="496" activeSheetId="1"/>
    <customWorkbookView name="Танечка - Особисте подання" guid="{839A87F2-F73A-45C5-ADB8-392A99CC1EFF}" mergeInterval="0" personalView="1" maximized="1" xWindow="-8" yWindow="-8" windowWidth="1936" windowHeight="1056" activeSheetId="1"/>
    <customWorkbookView name="user_451 - Личное представление" guid="{5EEB5DC5-097B-47D6-81BA-F19E1000B57E}" mergeInterval="0" personalView="1" maximized="1" xWindow="-8" yWindow="-8" windowWidth="1936" windowHeight="1056" activeSheetId="1"/>
    <customWorkbookView name="Tanya - Личное представление" guid="{795D5ECF-BF90-4F3E-A74E-B1A55C8421F2}" mergeInterval="0" personalView="1" maximized="1" xWindow="1" yWindow="1" windowWidth="1920" windowHeight="808" activeSheetId="1"/>
    <customWorkbookView name="User_463 - Личное представление" guid="{E147D13D-D04D-431E-888C-5A9AE670FC44}" mergeInterval="0" personalView="1" maximized="1" windowWidth="1276" windowHeight="850" activeSheetId="1"/>
    <customWorkbookView name="Garmash - Личное представление" guid="{3B5575E9-696E-4E1F-8BBE-8483CF318052}" mergeInterval="0" personalView="1" maximized="1" windowWidth="1020" windowHeight="562" activeSheetId="1"/>
    <customWorkbookView name="User416 - Личное представление" guid="{452C56A1-7A56-4ADE-A5CF-E260228787E3}" mergeInterval="0" personalView="1" maximized="1" windowWidth="1020" windowHeight="596" activeSheetId="1"/>
    <customWorkbookView name="user_457 - Личное представление" guid="{7EDDA008-F905-436E-A980-951BDACDA577}" mergeInterval="0" personalView="1" maximized="1" xWindow="1" yWindow="1" windowWidth="1920" windowHeight="753" activeSheetId="1"/>
    <customWorkbookView name="User457c  - Личное представление" guid="{2A0A5548-2EEF-4469-A03C-FA481083CE33}" mergeInterval="0" personalView="1" maximized="1" windowWidth="1020" windowHeight="569" activeSheetId="1"/>
    <customWorkbookView name="user458 - Личное представление" guid="{CC0A6F72-A956-4FF0-A9CF-B2F133844683}" mergeInterval="0" personalView="1" maximized="1" xWindow="1" yWindow="1" windowWidth="1280" windowHeight="453" activeSheetId="1"/>
    <customWorkbookView name="User565 - Личное представление" guid="{B5FF27E5-4C0E-4323-88CE-5D44F441DDEF}" mergeInterval="0" personalView="1" maximized="1" xWindow="1" yWindow="1" windowWidth="1920" windowHeight="829" activeSheetId="1"/>
    <customWorkbookView name="User_455 - Личное представление" guid="{33313D92-ACCC-472C-8066-C92558BED64F}" mergeInterval="0" personalView="1" maximized="1" xWindow="1" yWindow="1" windowWidth="1920" windowHeight="753" activeSheetId="1"/>
    <customWorkbookView name="user415a - Личное представление" guid="{F9D2B861-A6DF-4E58-9205-20667B07345D}" mergeInterval="0" personalView="1" maximized="1" xWindow="1" yWindow="1" windowWidth="1440" windowHeight="633" activeSheetId="1"/>
    <customWorkbookView name="User415b - Личное представление" guid="{0EDC1FFF-2611-4DAC-98A8-22EC25025967}" mergeInterval="0" personalView="1" maximized="1" xWindow="1" yWindow="1" windowWidth="1916" windowHeight="808" activeSheetId="1"/>
    <customWorkbookView name="user416d - Личное представление" guid="{998E5F34-5F22-456C-AF6B-44B849DA5E75}" mergeInterval="0" personalView="1" maximized="1" xWindow="1" yWindow="1" windowWidth="1916" windowHeight="692" activeSheetId="1"/>
    <customWorkbookView name="User465b - Личное представление" guid="{471079C8-6E8B-4088-8968-A7D0C5B8653D}" mergeInterval="0" personalView="1" maximized="1" xWindow="1" yWindow="1" windowWidth="1920" windowHeight="850" activeSheetId="1"/>
    <customWorkbookView name="Use565c - Личное представление" guid="{A600D8D5-C13F-49F2-9D2C-FC8EA32AC551}" mergeInterval="0" personalView="1" maximized="1" xWindow="1" yWindow="1" windowWidth="1920" windowHeight="802" activeSheetId="1"/>
    <customWorkbookView name="user - Личное представление" guid="{868786DC-4C96-45F5-A272-3E03D4B934A0}" mergeInterval="0" personalView="1" maximized="1" xWindow="-8" yWindow="-8" windowWidth="1936" windowHeight="1056" activeSheetId="1"/>
    <customWorkbookView name="User569a - Личное представление" guid="{8FB1E024-9866-4CAD-B900-0CCFEA27B234}" mergeInterval="0" personalView="1" maximized="1" xWindow="1" yWindow="1" windowWidth="1920" windowHeight="850" activeSheetId="1"/>
    <customWorkbookView name="Танечка - Личное представление" guid="{BE1C4A44-01B5-4ECE-8D55-C71095D37032}" mergeInterval="0" personalView="1" maximized="1" xWindow="1" yWindow="1" windowWidth="1920" windowHeight="850" activeSheetId="1"/>
    <customWorkbookView name="user563a - Личное представление" guid="{CFB0A04F-563D-4D2B-BCD3-ACFCDC70E584}" mergeInterval="0" personalView="1" maximized="1" xWindow="1" yWindow="1" windowWidth="1846" windowHeight="838" activeSheetId="1"/>
    <customWorkbookView name="User569c - Личное представление" guid="{BC4BF63E-98F8-4CE0-B0DE-A2A71C291EFE}" mergeInterval="0" personalView="1" maximized="1" xWindow="1" yWindow="1" windowWidth="1920" windowHeight="850" activeSheetId="1"/>
    <customWorkbookView name="Яна - Личное представление" guid="{9BFA17BE-4413-48EA-8DFA-9D7972E1D966}" mergeInterval="0" personalView="1" maximized="1" xWindow="1" yWindow="1" windowWidth="1920" windowHeight="850" activeSheetId="1"/>
    <customWorkbookView name="user459b - Личное представление" guid="{FA039D92-C83F-438E-BA9D-917452CA1B7F}" mergeInterval="0" personalView="1" maximized="1" xWindow="1" yWindow="1" windowWidth="1920" windowHeight="850" activeSheetId="1"/>
    <customWorkbookView name="user459a - Личное представление" guid="{8DA01475-C6A0-4A19-B7EB-B1C704431492}" mergeInterval="0" personalView="1" maximized="1" xWindow="1" yWindow="1" windowWidth="1904" windowHeight="838" activeSheetId="1"/>
    <customWorkbookView name="user457c - Личное представление" guid="{221AFC77-C97B-4D44-8163-7AA758A08BF9}" mergeInterval="0" personalView="1" maximized="1" xWindow="1" yWindow="1" windowWidth="1470" windowHeight="557" activeSheetId="1"/>
    <customWorkbookView name="user457b - Личное представление" guid="{95A7493F-2B11-406A-BB91-458FD9DC3BAE}" mergeInterval="0" personalView="1" maximized="1" xWindow="1" yWindow="1" windowWidth="1717" windowHeight="772" activeSheetId="1"/>
    <customWorkbookView name="user465a - Личное представление" guid="{EF32CA8F-131B-41F0-AA31-167807ADE2D4}" mergeInterval="0" personalView="1" maximized="1" xWindow="1" yWindow="1" windowWidth="1860" windowHeight="831" activeSheetId="1"/>
    <customWorkbookView name="User415 - Личное представление" guid="{06B33669-D909-4CD8-806F-33C009B9DF0A}" mergeInterval="0" personalView="1" maximized="1" xWindow="1" yWindow="1" windowWidth="1920" windowHeight="850" activeSheetId="1"/>
    <customWorkbookView name="user415c - Личное представление" guid="{3824CD03-2F75-4531-8348-997F8B6518CE}" mergeInterval="0" personalView="1" maximized="1" xWindow="1" yWindow="1" windowWidth="1920" windowHeight="850" activeSheetId="1"/>
    <customWorkbookView name="User_569 - Личное представление" guid="{68CBFC64-03A4-4F74-B34E-EE1DB915A668}" mergeInterval="0" personalView="1" maximized="1" xWindow="1" yWindow="1" windowWidth="1916" windowHeight="850" activeSheetId="1"/>
    <customWorkbookView name="User457d - Личное представление" guid="{0CBA335B-0DD8-471B-913E-91954D8A7DE8}" mergeInterval="0" personalView="1" maximized="1" xWindow="1" yWindow="1" windowWidth="1916" windowHeight="850" activeSheetId="1"/>
    <customWorkbookView name="User416с - Личное представление" guid="{909763BC-F63D-4E79-B4F6-FCE1E0BE71C6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J187" i="1"/>
  <c r="F222"/>
  <c r="F191"/>
  <c r="F189"/>
  <c r="F180"/>
  <c r="I192"/>
  <c r="I148"/>
  <c r="I76"/>
  <c r="I74"/>
  <c r="I44"/>
  <c r="E222"/>
  <c r="E220"/>
  <c r="E145"/>
  <c r="E99"/>
  <c r="E81"/>
  <c r="E77"/>
  <c r="E52"/>
  <c r="E18"/>
  <c r="D153"/>
  <c r="C153"/>
  <c r="H146"/>
  <c r="G146"/>
  <c r="D146"/>
  <c r="C146"/>
  <c r="H183" l="1"/>
  <c r="G183"/>
  <c r="D183"/>
  <c r="C183"/>
  <c r="H190"/>
  <c r="I190" s="1"/>
  <c r="G190"/>
  <c r="D190"/>
  <c r="C190"/>
  <c r="H197"/>
  <c r="H195" s="1"/>
  <c r="G197"/>
  <c r="G195" s="1"/>
  <c r="D195"/>
  <c r="F190" l="1"/>
  <c r="I195"/>
  <c r="E226"/>
  <c r="F226"/>
  <c r="D208"/>
  <c r="I201" l="1"/>
  <c r="I203"/>
  <c r="G207"/>
  <c r="G204" s="1"/>
  <c r="H158"/>
  <c r="E88"/>
  <c r="J75"/>
  <c r="J73"/>
  <c r="G158"/>
  <c r="I94"/>
  <c r="H82"/>
  <c r="I83"/>
  <c r="I82" l="1"/>
  <c r="H79"/>
  <c r="J158"/>
  <c r="C131"/>
  <c r="D160"/>
  <c r="D156"/>
  <c r="E151"/>
  <c r="E150"/>
  <c r="E149"/>
  <c r="C160"/>
  <c r="F93"/>
  <c r="E93"/>
  <c r="F92"/>
  <c r="E92"/>
  <c r="E91"/>
  <c r="F90"/>
  <c r="E90"/>
  <c r="D89"/>
  <c r="C89"/>
  <c r="F88"/>
  <c r="D87"/>
  <c r="C87"/>
  <c r="F86"/>
  <c r="E86"/>
  <c r="E85"/>
  <c r="E84"/>
  <c r="D82"/>
  <c r="C82"/>
  <c r="F80"/>
  <c r="E80"/>
  <c r="D76"/>
  <c r="E76" s="1"/>
  <c r="I75"/>
  <c r="I73"/>
  <c r="E72"/>
  <c r="I71"/>
  <c r="E70"/>
  <c r="F69"/>
  <c r="E69"/>
  <c r="H68"/>
  <c r="G68"/>
  <c r="D68"/>
  <c r="C68"/>
  <c r="F66"/>
  <c r="E66"/>
  <c r="E64"/>
  <c r="D63"/>
  <c r="C63"/>
  <c r="F62"/>
  <c r="E62"/>
  <c r="E61"/>
  <c r="F60"/>
  <c r="E60"/>
  <c r="E59"/>
  <c r="F58"/>
  <c r="E58"/>
  <c r="F57"/>
  <c r="E57"/>
  <c r="D56"/>
  <c r="C56"/>
  <c r="E54"/>
  <c r="E53"/>
  <c r="E51"/>
  <c r="F50"/>
  <c r="E50"/>
  <c r="D48"/>
  <c r="C48"/>
  <c r="E45"/>
  <c r="J44"/>
  <c r="E43"/>
  <c r="F42"/>
  <c r="E42"/>
  <c r="F41"/>
  <c r="E41"/>
  <c r="D40"/>
  <c r="C40"/>
  <c r="E39"/>
  <c r="E38"/>
  <c r="D37"/>
  <c r="C37"/>
  <c r="F36"/>
  <c r="E36"/>
  <c r="E35"/>
  <c r="E34"/>
  <c r="E33"/>
  <c r="E32"/>
  <c r="F31"/>
  <c r="E31"/>
  <c r="E30"/>
  <c r="E29"/>
  <c r="E28"/>
  <c r="E27"/>
  <c r="D26"/>
  <c r="C26"/>
  <c r="F24"/>
  <c r="E24"/>
  <c r="E23"/>
  <c r="D22"/>
  <c r="C22"/>
  <c r="E21"/>
  <c r="D20"/>
  <c r="C20"/>
  <c r="E17"/>
  <c r="D16"/>
  <c r="C16"/>
  <c r="E15"/>
  <c r="E14"/>
  <c r="F13"/>
  <c r="E13"/>
  <c r="E12"/>
  <c r="E11"/>
  <c r="F10"/>
  <c r="E10"/>
  <c r="D9"/>
  <c r="C9"/>
  <c r="H7"/>
  <c r="G7"/>
  <c r="H67" l="1"/>
  <c r="C55"/>
  <c r="I79"/>
  <c r="C47"/>
  <c r="C67"/>
  <c r="D67"/>
  <c r="F87"/>
  <c r="E56"/>
  <c r="C19"/>
  <c r="E9"/>
  <c r="C25"/>
  <c r="E82"/>
  <c r="E20"/>
  <c r="E26"/>
  <c r="D19"/>
  <c r="E63"/>
  <c r="E22"/>
  <c r="D25"/>
  <c r="E37"/>
  <c r="E87"/>
  <c r="D8"/>
  <c r="I68"/>
  <c r="E16"/>
  <c r="E48"/>
  <c r="G67"/>
  <c r="G46" s="1"/>
  <c r="G78" s="1"/>
  <c r="G95" s="1"/>
  <c r="E68"/>
  <c r="C79"/>
  <c r="D55"/>
  <c r="F63"/>
  <c r="C8"/>
  <c r="E40"/>
  <c r="E89"/>
  <c r="J7"/>
  <c r="F9"/>
  <c r="D79"/>
  <c r="I7"/>
  <c r="F40"/>
  <c r="F56"/>
  <c r="F82"/>
  <c r="F89"/>
  <c r="D47"/>
  <c r="C46" l="1"/>
  <c r="H46"/>
  <c r="J46" s="1"/>
  <c r="E67"/>
  <c r="E55"/>
  <c r="D46"/>
  <c r="E19"/>
  <c r="C7"/>
  <c r="F55"/>
  <c r="D7"/>
  <c r="E25"/>
  <c r="F25"/>
  <c r="I67"/>
  <c r="F19"/>
  <c r="F8"/>
  <c r="E79"/>
  <c r="E8"/>
  <c r="E47"/>
  <c r="C78" l="1"/>
  <c r="H95"/>
  <c r="I46"/>
  <c r="H78"/>
  <c r="I78" s="1"/>
  <c r="D78"/>
  <c r="F7"/>
  <c r="E7"/>
  <c r="E46"/>
  <c r="F46"/>
  <c r="C95" l="1"/>
  <c r="J78"/>
  <c r="J95"/>
  <c r="I95"/>
  <c r="D95"/>
  <c r="E78"/>
  <c r="F78"/>
  <c r="E95" l="1"/>
  <c r="F95"/>
  <c r="J237"/>
  <c r="I237"/>
  <c r="D224"/>
  <c r="C224"/>
  <c r="J122"/>
  <c r="J117"/>
  <c r="J114"/>
  <c r="J112"/>
  <c r="J110"/>
  <c r="J109"/>
  <c r="J105"/>
  <c r="G104"/>
  <c r="H104"/>
  <c r="H102"/>
  <c r="E124"/>
  <c r="E123"/>
  <c r="D104"/>
  <c r="C119"/>
  <c r="C116"/>
  <c r="C111"/>
  <c r="C106"/>
  <c r="C104"/>
  <c r="C103" s="1"/>
  <c r="J104" l="1"/>
  <c r="C101"/>
  <c r="F171"/>
  <c r="F170"/>
  <c r="G165"/>
  <c r="C165"/>
  <c r="G126"/>
  <c r="C132"/>
  <c r="C130"/>
  <c r="C125" l="1"/>
  <c r="G125"/>
  <c r="D98"/>
  <c r="C98"/>
  <c r="J200"/>
  <c r="J202"/>
  <c r="E202"/>
  <c r="E195" s="1"/>
  <c r="I200"/>
  <c r="J208"/>
  <c r="F212"/>
  <c r="E210"/>
  <c r="E215"/>
  <c r="F215"/>
  <c r="H211"/>
  <c r="E208"/>
  <c r="G214"/>
  <c r="G211"/>
  <c r="E178"/>
  <c r="F178"/>
  <c r="G177"/>
  <c r="C169"/>
  <c r="H177"/>
  <c r="F133"/>
  <c r="J236"/>
  <c r="I236"/>
  <c r="E235"/>
  <c r="J221"/>
  <c r="I221"/>
  <c r="I126"/>
  <c r="H127"/>
  <c r="H125" s="1"/>
  <c r="C207"/>
  <c r="I210"/>
  <c r="J184"/>
  <c r="F184"/>
  <c r="I202"/>
  <c r="I196"/>
  <c r="I208"/>
  <c r="F206"/>
  <c r="E206"/>
  <c r="I214" l="1"/>
  <c r="H209"/>
  <c r="I127"/>
  <c r="J177"/>
  <c r="G213"/>
  <c r="J211"/>
  <c r="F208"/>
  <c r="I197"/>
  <c r="I213" l="1"/>
  <c r="J160" l="1"/>
  <c r="I160"/>
  <c r="J98"/>
  <c r="E122"/>
  <c r="E121"/>
  <c r="E120"/>
  <c r="E118"/>
  <c r="E117"/>
  <c r="E115"/>
  <c r="E114"/>
  <c r="E113"/>
  <c r="E112"/>
  <c r="E109"/>
  <c r="E108"/>
  <c r="E107"/>
  <c r="E105"/>
  <c r="E102"/>
  <c r="E104"/>
  <c r="F115"/>
  <c r="I189"/>
  <c r="C205"/>
  <c r="C213"/>
  <c r="G176"/>
  <c r="G172"/>
  <c r="D176"/>
  <c r="E174"/>
  <c r="J166"/>
  <c r="J164"/>
  <c r="H97"/>
  <c r="G97"/>
  <c r="E193"/>
  <c r="E191"/>
  <c r="E188"/>
  <c r="E212"/>
  <c r="G209"/>
  <c r="F221"/>
  <c r="F225"/>
  <c r="E225"/>
  <c r="C209" l="1"/>
  <c r="J209"/>
  <c r="I102"/>
  <c r="F187"/>
  <c r="J97"/>
  <c r="I158"/>
  <c r="I209"/>
  <c r="I187"/>
  <c r="J173"/>
  <c r="E110"/>
  <c r="D106"/>
  <c r="F102"/>
  <c r="J147"/>
  <c r="J143"/>
  <c r="F138"/>
  <c r="F137"/>
  <c r="F136"/>
  <c r="I198"/>
  <c r="C182" l="1"/>
  <c r="C155"/>
  <c r="H207" l="1"/>
  <c r="I207" l="1"/>
  <c r="J207"/>
  <c r="H204"/>
  <c r="E189"/>
  <c r="J204" l="1"/>
  <c r="I204"/>
  <c r="H194"/>
  <c r="G194" l="1"/>
  <c r="H176"/>
  <c r="C176"/>
  <c r="D103"/>
  <c r="D165"/>
  <c r="J176" l="1"/>
  <c r="E103"/>
  <c r="I199" l="1"/>
  <c r="J218"/>
  <c r="J193"/>
  <c r="J144"/>
  <c r="G219"/>
  <c r="H179"/>
  <c r="G179"/>
  <c r="G168" s="1"/>
  <c r="D169"/>
  <c r="J235"/>
  <c r="F169" l="1"/>
  <c r="F236"/>
  <c r="D205"/>
  <c r="D132"/>
  <c r="F132" l="1"/>
  <c r="F205"/>
  <c r="E205"/>
  <c r="D119"/>
  <c r="F185"/>
  <c r="C159" l="1"/>
  <c r="C97" l="1"/>
  <c r="C243" l="1"/>
  <c r="I235" l="1"/>
  <c r="I184"/>
  <c r="I181"/>
  <c r="I177"/>
  <c r="I175"/>
  <c r="I173"/>
  <c r="I166"/>
  <c r="I147"/>
  <c r="I144"/>
  <c r="E221"/>
  <c r="H165"/>
  <c r="H116"/>
  <c r="F244"/>
  <c r="E244"/>
  <c r="H219"/>
  <c r="H111"/>
  <c r="H103"/>
  <c r="D219"/>
  <c r="C219"/>
  <c r="D207"/>
  <c r="D213"/>
  <c r="D172"/>
  <c r="D179"/>
  <c r="J219" l="1"/>
  <c r="D182"/>
  <c r="F213"/>
  <c r="F207"/>
  <c r="H101"/>
  <c r="D204"/>
  <c r="E207"/>
  <c r="F219"/>
  <c r="I179"/>
  <c r="I219"/>
  <c r="F121"/>
  <c r="F120"/>
  <c r="F117"/>
  <c r="F114"/>
  <c r="F113"/>
  <c r="F112"/>
  <c r="F110"/>
  <c r="F109"/>
  <c r="F108"/>
  <c r="F107"/>
  <c r="F105"/>
  <c r="F104"/>
  <c r="F161"/>
  <c r="E161"/>
  <c r="F160"/>
  <c r="E160"/>
  <c r="F157"/>
  <c r="E157"/>
  <c r="F156"/>
  <c r="E156"/>
  <c r="F154"/>
  <c r="E154"/>
  <c r="F152"/>
  <c r="E152"/>
  <c r="E148"/>
  <c r="F147"/>
  <c r="E147"/>
  <c r="E144"/>
  <c r="F143"/>
  <c r="E143"/>
  <c r="F141"/>
  <c r="E141"/>
  <c r="F140"/>
  <c r="E140"/>
  <c r="F139"/>
  <c r="E139"/>
  <c r="E138"/>
  <c r="E137"/>
  <c r="E136"/>
  <c r="D142"/>
  <c r="D135"/>
  <c r="D159"/>
  <c r="D155"/>
  <c r="D130"/>
  <c r="D125" s="1"/>
  <c r="D111"/>
  <c r="D116"/>
  <c r="D134" l="1"/>
  <c r="D101"/>
  <c r="G234"/>
  <c r="G233" s="1"/>
  <c r="G229"/>
  <c r="G228"/>
  <c r="G217"/>
  <c r="G216" s="1"/>
  <c r="G182"/>
  <c r="J165"/>
  <c r="G159"/>
  <c r="G142"/>
  <c r="G116"/>
  <c r="G111"/>
  <c r="G103"/>
  <c r="C234"/>
  <c r="C217"/>
  <c r="C204"/>
  <c r="E190"/>
  <c r="C179"/>
  <c r="C172"/>
  <c r="C162"/>
  <c r="C142"/>
  <c r="C135"/>
  <c r="E119"/>
  <c r="E116"/>
  <c r="E111"/>
  <c r="C245"/>
  <c r="C134" l="1"/>
  <c r="G134"/>
  <c r="J103"/>
  <c r="C216"/>
  <c r="J116"/>
  <c r="J111"/>
  <c r="E101"/>
  <c r="F179"/>
  <c r="G101"/>
  <c r="E204"/>
  <c r="F204"/>
  <c r="F135"/>
  <c r="E106"/>
  <c r="E142"/>
  <c r="E159"/>
  <c r="C233"/>
  <c r="E155"/>
  <c r="E153"/>
  <c r="F116"/>
  <c r="E146"/>
  <c r="G162"/>
  <c r="I165"/>
  <c r="C194"/>
  <c r="E213"/>
  <c r="F142"/>
  <c r="F106"/>
  <c r="F153"/>
  <c r="F111"/>
  <c r="F103"/>
  <c r="F155"/>
  <c r="F119"/>
  <c r="F159"/>
  <c r="C168"/>
  <c r="I101" l="1"/>
  <c r="J101"/>
  <c r="F101"/>
  <c r="C238"/>
  <c r="G238"/>
  <c r="I122"/>
  <c r="I117"/>
  <c r="I114"/>
  <c r="I112"/>
  <c r="I110"/>
  <c r="I109"/>
  <c r="I105"/>
  <c r="I104"/>
  <c r="C223" l="1"/>
  <c r="I111"/>
  <c r="I103"/>
  <c r="I116"/>
  <c r="C227" l="1"/>
  <c r="H159"/>
  <c r="I143"/>
  <c r="H142"/>
  <c r="H234"/>
  <c r="H134" l="1"/>
  <c r="C231"/>
  <c r="H233"/>
  <c r="J234"/>
  <c r="I234"/>
  <c r="I159"/>
  <c r="J159"/>
  <c r="J142"/>
  <c r="I146"/>
  <c r="E135"/>
  <c r="I142"/>
  <c r="F183"/>
  <c r="E183"/>
  <c r="D243"/>
  <c r="J134" l="1"/>
  <c r="F243"/>
  <c r="E243"/>
  <c r="I134"/>
  <c r="D245"/>
  <c r="E134"/>
  <c r="F134"/>
  <c r="F245" l="1"/>
  <c r="E245"/>
  <c r="H217"/>
  <c r="J217" l="1"/>
  <c r="H216"/>
  <c r="H182"/>
  <c r="J182" l="1"/>
  <c r="J183"/>
  <c r="I183"/>
  <c r="D162" l="1"/>
  <c r="I211"/>
  <c r="F186" l="1"/>
  <c r="E98" l="1"/>
  <c r="I193" l="1"/>
  <c r="E100" l="1"/>
  <c r="D97"/>
  <c r="I182" l="1"/>
  <c r="E126"/>
  <c r="D234" l="1"/>
  <c r="F98"/>
  <c r="I98"/>
  <c r="F234" l="1"/>
  <c r="J233"/>
  <c r="I233"/>
  <c r="D233"/>
  <c r="H238"/>
  <c r="F97"/>
  <c r="E97"/>
  <c r="I97"/>
  <c r="F233" l="1"/>
  <c r="J238"/>
  <c r="I238"/>
  <c r="D238"/>
  <c r="F238" l="1"/>
  <c r="E133"/>
  <c r="F131"/>
  <c r="E131"/>
  <c r="F129"/>
  <c r="E129"/>
  <c r="F128"/>
  <c r="E128"/>
  <c r="F127"/>
  <c r="E127"/>
  <c r="F126"/>
  <c r="F182"/>
  <c r="F242"/>
  <c r="F241"/>
  <c r="F181"/>
  <c r="F175"/>
  <c r="F174"/>
  <c r="F173"/>
  <c r="F167"/>
  <c r="F166"/>
  <c r="F164"/>
  <c r="F163"/>
  <c r="F224" l="1"/>
  <c r="E224"/>
  <c r="E132"/>
  <c r="F130"/>
  <c r="E130"/>
  <c r="I125" l="1"/>
  <c r="F125"/>
  <c r="E125"/>
  <c r="F177"/>
  <c r="I218"/>
  <c r="F172" l="1"/>
  <c r="E163" l="1"/>
  <c r="I163"/>
  <c r="E164"/>
  <c r="I164"/>
  <c r="E166"/>
  <c r="E167"/>
  <c r="E170"/>
  <c r="E171"/>
  <c r="H172"/>
  <c r="E173"/>
  <c r="E175"/>
  <c r="E177"/>
  <c r="E180"/>
  <c r="E181"/>
  <c r="E184"/>
  <c r="E185"/>
  <c r="E186"/>
  <c r="E187"/>
  <c r="D209"/>
  <c r="D217"/>
  <c r="E218"/>
  <c r="H228"/>
  <c r="H229"/>
  <c r="I230"/>
  <c r="E233"/>
  <c r="E234"/>
  <c r="E236"/>
  <c r="E238"/>
  <c r="E241"/>
  <c r="E242"/>
  <c r="D216" l="1"/>
  <c r="E209"/>
  <c r="D194"/>
  <c r="I229"/>
  <c r="I228"/>
  <c r="I172"/>
  <c r="F176"/>
  <c r="F165"/>
  <c r="H162"/>
  <c r="I217"/>
  <c r="E219"/>
  <c r="D168"/>
  <c r="E217"/>
  <c r="E176"/>
  <c r="H168"/>
  <c r="E169"/>
  <c r="E179"/>
  <c r="E172"/>
  <c r="E165"/>
  <c r="J162" l="1"/>
  <c r="J168"/>
  <c r="F216"/>
  <c r="I168"/>
  <c r="I176"/>
  <c r="H223"/>
  <c r="I194"/>
  <c r="F162"/>
  <c r="E182"/>
  <c r="E162"/>
  <c r="I162"/>
  <c r="F168"/>
  <c r="E168"/>
  <c r="E216"/>
  <c r="D223" l="1"/>
  <c r="F194"/>
  <c r="E194"/>
  <c r="H227"/>
  <c r="E223" l="1"/>
  <c r="F223"/>
  <c r="D227"/>
  <c r="H231"/>
  <c r="D231" l="1"/>
  <c r="F227"/>
  <c r="E227"/>
  <c r="F231" l="1"/>
  <c r="E231"/>
  <c r="I216"/>
  <c r="G223" l="1"/>
  <c r="J216"/>
  <c r="J223" l="1"/>
  <c r="I223"/>
  <c r="G227"/>
  <c r="J227" l="1"/>
  <c r="I227"/>
  <c r="G231"/>
  <c r="J231" l="1"/>
  <c r="I231"/>
</calcChain>
</file>

<file path=xl/sharedStrings.xml><?xml version="1.0" encoding="utf-8"?>
<sst xmlns="http://schemas.openxmlformats.org/spreadsheetml/2006/main" count="453" uniqueCount="416">
  <si>
    <t>Загальний фонд</t>
  </si>
  <si>
    <t>Спеціальний фонд</t>
  </si>
  <si>
    <t>Код бюджетної класифікації</t>
  </si>
  <si>
    <t>Найменування коду згідно із бюджетною класифікацією</t>
  </si>
  <si>
    <t>Державне управління</t>
  </si>
  <si>
    <t>Органи місцевого самоврядування</t>
  </si>
  <si>
    <t>Освіта</t>
  </si>
  <si>
    <t>Охорона здоров'я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</si>
  <si>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</si>
  <si>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</si>
  <si>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</si>
  <si>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</si>
  <si>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</si>
  <si>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</si>
  <si>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МІЖБЮДЖЕТНІ ТРАНСФЕРТИ</t>
  </si>
  <si>
    <t>ВСЬОГО ВИДАТКІВ З КРЕДИТУВАННЯМ</t>
  </si>
  <si>
    <t xml:space="preserve">РАЗОМ ВИДАТКИ </t>
  </si>
  <si>
    <t xml:space="preserve"> КРЕДИТУВАННЯ </t>
  </si>
  <si>
    <t xml:space="preserve">ВСЬОГО ВИДАТКІВ </t>
  </si>
  <si>
    <t xml:space="preserve">ФІНАНСУВАННЯ </t>
  </si>
  <si>
    <t>Дефіцит (-)/профіцит (+)</t>
  </si>
  <si>
    <t>Внутрішнє фінансування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</si>
  <si>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</si>
  <si>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бюджетів</t>
  </si>
  <si>
    <t>Разом коштів, отриманих з усіх джерел фінансування бюджету за типом кредитора</t>
  </si>
  <si>
    <t>Внутрішній борг</t>
  </si>
  <si>
    <t>Класифікація боргу за типом боргового зобов"язання</t>
  </si>
  <si>
    <t>Заборгованість за середньостроковими зобов"язаннями (позики за рахунок ресурсів єдиного казначейського рахунка)</t>
  </si>
  <si>
    <t>Відхилення, тис. грн.</t>
  </si>
  <si>
    <t>Темп зростання, %</t>
  </si>
  <si>
    <t>0100</t>
  </si>
  <si>
    <t>1000</t>
  </si>
  <si>
    <t>1010</t>
  </si>
  <si>
    <t>1020</t>
  </si>
  <si>
    <t>1030</t>
  </si>
  <si>
    <t>1090</t>
  </si>
  <si>
    <t>2000</t>
  </si>
  <si>
    <t>2010</t>
  </si>
  <si>
    <t>Багатопрофільна стаціонарна медична допомога населенню</t>
  </si>
  <si>
    <t>3000</t>
  </si>
  <si>
    <t>3030</t>
  </si>
  <si>
    <t>3031</t>
  </si>
  <si>
    <t>3033</t>
  </si>
  <si>
    <t>Надання пільг окремим категоріям громадян з оплати послуг зв'язку</t>
  </si>
  <si>
    <t>3035</t>
  </si>
  <si>
    <t>3050</t>
  </si>
  <si>
    <t>3090</t>
  </si>
  <si>
    <t>3100</t>
  </si>
  <si>
    <t>3104</t>
  </si>
  <si>
    <t>3105</t>
  </si>
  <si>
    <t>3190</t>
  </si>
  <si>
    <t>3240</t>
  </si>
  <si>
    <t>Пільгове медичне обслуговування осіб, які постраждали внаслідок Чорнобильської катастрофи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</si>
  <si>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</si>
  <si>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Здійснення соціальної роботи з вразливими категоріями населення</t>
  </si>
  <si>
    <t>Соціальний захист ветеранів війни та праці</t>
  </si>
  <si>
    <t>6000</t>
  </si>
  <si>
    <t>6010</t>
  </si>
  <si>
    <t>4000</t>
  </si>
  <si>
    <t>4060</t>
  </si>
  <si>
    <t>5000</t>
  </si>
  <si>
    <t>Проведення спортивної роботи в регіоні</t>
  </si>
  <si>
    <t>5010</t>
  </si>
  <si>
    <t>5011</t>
  </si>
  <si>
    <t>5012</t>
  </si>
  <si>
    <t>5030</t>
  </si>
  <si>
    <t>5031</t>
  </si>
  <si>
    <t>5032</t>
  </si>
  <si>
    <t>5033</t>
  </si>
  <si>
    <t>5040</t>
  </si>
  <si>
    <t>5041</t>
  </si>
  <si>
    <t>5060</t>
  </si>
  <si>
    <t>5062</t>
  </si>
  <si>
    <t>5063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</si>
  <si>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</si>
  <si>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</si>
  <si>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та заходів з інвалідного спорту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</si>
  <si>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</si>
  <si>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</si>
  <si>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Забезпечення підготовки спортсменів вищих категорій школами вищої спортивної майстерності</t>
  </si>
  <si>
    <t>Підтримка і розвиток спортивної інфраструктури</t>
  </si>
  <si>
    <t>Утримання комунальних спортивних споруд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</si>
  <si>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</si>
  <si>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</si>
  <si>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централізованої бухгалтерії</t>
  </si>
  <si>
    <t>7300</t>
  </si>
  <si>
    <t>8000</t>
  </si>
  <si>
    <t>Забезпечення збору та вивезення сміття і відходів, надійної та безперебійної експлуатації каналізаційних систем</t>
  </si>
  <si>
    <t>Інші заходи у сфері електротранспорту</t>
  </si>
  <si>
    <t>7400</t>
  </si>
  <si>
    <t>Внески до статутного капіталу суб’єктів господарювання</t>
  </si>
  <si>
    <t>3160</t>
  </si>
  <si>
    <t>1160</t>
  </si>
  <si>
    <t>Заходи з енергозбереження</t>
  </si>
  <si>
    <t>Інші заходи, пов'язані з економічною діяльністю</t>
  </si>
  <si>
    <t>7600</t>
  </si>
  <si>
    <t>1150</t>
  </si>
  <si>
    <t>2030</t>
  </si>
  <si>
    <t>2080</t>
  </si>
  <si>
    <t>2100</t>
  </si>
  <si>
    <t>2110</t>
  </si>
  <si>
    <t>2111</t>
  </si>
  <si>
    <t>2150</t>
  </si>
  <si>
    <t>2152</t>
  </si>
  <si>
    <t>3120</t>
  </si>
  <si>
    <t>3121</t>
  </si>
  <si>
    <t>3170</t>
  </si>
  <si>
    <t>3171</t>
  </si>
  <si>
    <t>3191</t>
  </si>
  <si>
    <t>3192</t>
  </si>
  <si>
    <t>3210</t>
  </si>
  <si>
    <t>3241</t>
  </si>
  <si>
    <t>3242</t>
  </si>
  <si>
    <t>4030</t>
  </si>
  <si>
    <t>4080</t>
  </si>
  <si>
    <t>4081</t>
  </si>
  <si>
    <t>4082</t>
  </si>
  <si>
    <t>6011</t>
  </si>
  <si>
    <t>6014</t>
  </si>
  <si>
    <t>0160</t>
  </si>
  <si>
    <t xml:space="preserve">Забезпечення діяльності інших закладів у сфері освіти </t>
  </si>
  <si>
    <t>Інші програми та заходи у сфері освіти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</si>
  <si>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</si>
  <si>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</si>
  <si>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</si>
  <si>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 програми, заклади та заходи у сфері охорони здоров’я</t>
  </si>
  <si>
    <t>Інші програми та заходи у сфері охорони здоров’я</t>
  </si>
  <si>
    <t>Забезпечення діяльності бібліотек</t>
  </si>
  <si>
    <t>Інші заклади та заходи в галузі культури і мистецтва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</si>
  <si>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</si>
  <si>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</si>
  <si>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>Утримання та ефективна експлуатація об’єктів житлово-комунального господарства</t>
  </si>
  <si>
    <t>Експлуатація та технічне обслуговування житлового фонду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</si>
  <si>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</si>
  <si>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</si>
  <si>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</si>
  <si>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Інша діяльність у сфері житлово-комунального господарства</t>
  </si>
  <si>
    <t xml:space="preserve">Реалізація державних та місцевих житлових програм </t>
  </si>
  <si>
    <t>Будівництво та регіональний розвиток</t>
  </si>
  <si>
    <t>Будівництво об'єктів житлово-комунального господарства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</si>
  <si>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</si>
  <si>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</si>
  <si>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</si>
  <si>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Будівництво об'єктів соціально-культурного призначення</t>
  </si>
  <si>
    <t>Транспорт та транспортна інфраструктура, дорожнє господарство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</si>
  <si>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</si>
  <si>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</si>
  <si>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7426</t>
  </si>
  <si>
    <t>Забезпечення надання послуг з перевезення пасажирів електротранспортом</t>
  </si>
  <si>
    <t>Інші послуги та заходи, пов'язані з економічною діяльністю</t>
  </si>
  <si>
    <t>7640</t>
  </si>
  <si>
    <t>7670</t>
  </si>
  <si>
    <t>Інша економічна діяльність</t>
  </si>
  <si>
    <t>7690</t>
  </si>
  <si>
    <t>7693</t>
  </si>
  <si>
    <t>7370</t>
  </si>
  <si>
    <t>Реалізація інших заходів щодо соціально-економічного розвитку територій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</si>
  <si>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</si>
  <si>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</si>
  <si>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</si>
  <si>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Заходи із запобігання та ліквідації надзвичайних ситуацій та наслідків стихійного лиха</t>
  </si>
  <si>
    <t>8822</t>
  </si>
  <si>
    <t>8820</t>
  </si>
  <si>
    <t>Пільгові довгострокові кредити молодим сім’ям та одиноким молодим громадянам на будівництво/придбання житла  та їх повернення</t>
  </si>
  <si>
    <t>8200</t>
  </si>
  <si>
    <t>8220</t>
  </si>
  <si>
    <t>Інша діяльність</t>
  </si>
  <si>
    <t>Громадський порядок та безпека</t>
  </si>
  <si>
    <t>Надання пільг з оплати послуг зв’язку,  інших передбачених законодавством пільг окремим категоріям громадян та компенсації за пільговий проїзд окремих категорій громадян</t>
  </si>
  <si>
    <t>3032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</si>
  <si>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</si>
  <si>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віку,особам з інвалідістю, дітям з інвалідністю в установах соціального обслуговування</t>
  </si>
  <si>
    <t>Надання реабілітаційних послуг особам з інвалідістю та дітям з інвалідністю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</si>
  <si>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</si>
  <si>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реалізації окремих програм для осіб з інвалідністю</t>
  </si>
  <si>
    <t>Заходи та роботи з мобілізаційної підготовки місцевого значення</t>
  </si>
  <si>
    <t>Інші заклади та заходи</t>
  </si>
  <si>
    <t xml:space="preserve"> Забезпечення діяльності інших закладів у сфері соціального захисту і соціального забезпечення</t>
  </si>
  <si>
    <t xml:space="preserve"> Інші заходи у сфері соціального захисту і соціального забезпечення</t>
  </si>
  <si>
    <t>Інші програми, заклади та заходи у сфері освіти</t>
  </si>
  <si>
    <t>7680</t>
  </si>
  <si>
    <t>Забезпечення діяльності палаців і будинків культури, клубів, центрів дозвілля та інших  клубних закладів</t>
  </si>
  <si>
    <t>Інші субвенції з місцевого бюджету</t>
  </si>
  <si>
    <t>Членські внески до асоціацій органів місцевого самоврядування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</si>
  <si>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</si>
  <si>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9770</t>
  </si>
  <si>
    <t xml:space="preserve">Амбулаторно-поліклінічна допомога населенню, крім  первинної медичної допомоги </t>
  </si>
  <si>
    <t>Первинна медична допомога населенню</t>
  </si>
  <si>
    <t>Інша діяльність щодо забезпечення житлом громадян</t>
  </si>
  <si>
    <t>0180</t>
  </si>
  <si>
    <t>Інша діяльність у сфері державного управління</t>
  </si>
  <si>
    <t>Надання інших пільг окремим категоріям громадян відповідно до законодавства</t>
  </si>
  <si>
    <t>Забезпечення діяльності інклюзивно-ресурсних центрів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</si>
  <si>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</si>
  <si>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Надання дошкільної  освіти</t>
  </si>
  <si>
    <t>Надання спеціальної освіти мистецькими школами</t>
  </si>
  <si>
    <t>Підготовка кадрів закладами професійної (професійно-технічної) освіти та іншими закладами освіти</t>
  </si>
  <si>
    <t>Організація та проведення громадських робіт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</si>
  <si>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</si>
  <si>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</si>
  <si>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1080</t>
  </si>
  <si>
    <t xml:space="preserve">Утримання та забезпечення діяльності центрів соціальних служб </t>
  </si>
  <si>
    <t>Надання загальної середньої освіти  за рахунок коштів місцевого бюджету</t>
  </si>
  <si>
    <t>1022</t>
  </si>
  <si>
    <t>Надання загальної середньої освіти  за рахунок освітньої субвенції</t>
  </si>
  <si>
    <t>1031</t>
  </si>
  <si>
    <t>1032</t>
  </si>
  <si>
    <t>1070</t>
  </si>
  <si>
    <t xml:space="preserve"> Надання позашкільної освіти закладами позашкільної освіти, заходи із позашкільної роботи з дітьми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</si>
  <si>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</si>
  <si>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</si>
  <si>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</si>
  <si>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1101</t>
  </si>
  <si>
    <t>1140</t>
  </si>
  <si>
    <t>1141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</si>
  <si>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</si>
  <si>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</si>
  <si>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</si>
  <si>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</si>
  <si>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</si>
  <si>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Забезпечення діяльності центрів професійного розвитку педагогічних працівників</t>
  </si>
  <si>
    <t>Підготовка кадрів закладами професійної (професійно-технічної) освіти та іншими закладами освіти  за рахунок освітньої субвенції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</si>
  <si>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</si>
  <si>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</si>
  <si>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</si>
  <si>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</si>
  <si>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</si>
  <si>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</si>
  <si>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 xml:space="preserve">Податок на прибуток підприємств </t>
  </si>
  <si>
    <t>Податок на прибуток підприємств та фінансових  установ  комунальної власності</t>
  </si>
  <si>
    <t>Рентна плата та плата за використання інших природних ресурсів </t>
  </si>
  <si>
    <t>Внутрішні податки на товари та послуги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</si>
  <si>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</si>
  <si>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</si>
  <si>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</si>
  <si>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</si>
  <si>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</si>
  <si>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</si>
  <si>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</si>
  <si>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Акцизний податок з реалізації суб’єктами господарювання роздрібної торгівлі підакцизних товарів</t>
  </si>
  <si>
    <t xml:space="preserve">Місцеві податки та збори, що сплачуються (перераховуються) згідно з Податковим кодексом України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</si>
  <si>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</si>
  <si>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</si>
  <si>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</si>
  <si>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 xml:space="preserve"> Податок на нерухоме майно, відмінне від земельної ділянки, сплачений фізичними особами, які є власниками об'єктів нежитлової нерухомості</t>
  </si>
  <si>
    <t xml:space="preserve"> 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</si>
  <si>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 xml:space="preserve"> 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</si>
  <si>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</si>
  <si>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</si>
  <si>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</si>
  <si>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</si>
  <si>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</si>
  <si>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</si>
  <si>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</si>
  <si>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</si>
  <si>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 xml:space="preserve">Єдиний податок 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</si>
  <si>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</si>
  <si>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</si>
  <si>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</si>
  <si>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Екологічний податок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</si>
  <si>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</si>
  <si>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</si>
  <si>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</si>
  <si>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</si>
  <si>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 xml:space="preserve">Адміністративні збори та платежі, доходи від некомерційної господарської діяльності </t>
  </si>
  <si>
    <t>Плата за надання адміністративних послуг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</si>
  <si>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</si>
  <si>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</si>
  <si>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</si>
  <si>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</si>
  <si>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</si>
  <si>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</si>
  <si>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</si>
  <si>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</si>
  <si>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</si>
  <si>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
</t>
  </si>
  <si>
    <t>Відсотки за користування 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</si>
  <si>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Власні надходження бюджетних установ</t>
  </si>
  <si>
    <t>РАЗОМ ДОХОДІВ</t>
  </si>
  <si>
    <t xml:space="preserve">Офіційні трансферти 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</si>
  <si>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</si>
  <si>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</si>
  <si>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</si>
  <si>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</si>
  <si>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</si>
  <si>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</si>
  <si>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</si>
  <si>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ВСЬОГО ДОХОДІВ</t>
  </si>
  <si>
    <t>1021</t>
  </si>
  <si>
    <t>Усього</t>
  </si>
  <si>
    <t>Зовнішній борг</t>
  </si>
  <si>
    <t>Заборгованість за довгостроковими  зобов"язаннями (позики банків та фінансових установ)</t>
  </si>
  <si>
    <t>Кошти гарантійного та реєстраційного внесків, що визначені Законом України "Про оренду державного та комунального майна", які підлягають перерахуванню оператором електронного майданчика до відповідного бюджету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</si>
  <si>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</si>
  <si>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</si>
  <si>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</si>
  <si>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8240</t>
  </si>
  <si>
    <t>Заходи та роботи з територіальної оборони</t>
  </si>
  <si>
    <t>7000</t>
  </si>
  <si>
    <t xml:space="preserve"> Економічна діяльність</t>
  </si>
  <si>
    <t>Темп зростання/ уповільнення, %</t>
  </si>
  <si>
    <t>Відхилення, тис. грн</t>
  </si>
  <si>
    <t>ВИДАТКОВА ЧАСТИНА ТА КРЕДИТУВАННЯ  БЮДЖЕТУ МИКОЛАЇВСЬКОЇ МІСЬКОЇ ТЕРИТОРІАЛЬНОЇ ГРОМАДИ</t>
  </si>
  <si>
    <t>ДОХІДНА ЧАСТИНА БЮДЖЕТУ МИКОЛАЇВСЬКОЇ МІСЬКОЇ ТЕРИТОРІАЛЬНОЇ ГРОМАДИ</t>
  </si>
  <si>
    <t>ІНФОРМАЦІЯ ПРО СТАН МІСЦЕВОГО БОРГУ БЮДЖЕТУ МИКОЛАЇВСЬКОЇ МІСЬКОЇ ТЕРИТОРІАЛЬНОЇ ГРОМАДИ</t>
  </si>
  <si>
    <t>1102</t>
  </si>
  <si>
    <t>Підготовка кадрів закладами фахової передвищої освіти за рахунок освітньої субвенції</t>
  </si>
  <si>
    <t>Підготовка кадрів закладами фахової передвищої освіти за рахунок коштів місцевого бюджету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</si>
  <si>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</si>
  <si>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5049</t>
  </si>
  <si>
    <t>Виконання окремих заходів з реалізації соціального проекту «Активні парки – локації здорової України»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</si>
  <si>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</si>
  <si>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Податок на доходи фізичних осіб із доходів спеціалістів резидента Дія Сіті</t>
  </si>
  <si>
    <t>Інші дотації з місцевого бюджету</t>
  </si>
  <si>
    <t>Дотації з місцевих бюджетів іншим місцевим бюджетам</t>
  </si>
  <si>
    <t>41057700</t>
  </si>
  <si>
    <t>Надходження коштів пайової участі у розвитку інфраструктури населеного пункту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</si>
  <si>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</si>
  <si>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Інші видатки на соціальний захист ветеранів війни та праці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</si>
  <si>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</si>
  <si>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</si>
  <si>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</si>
  <si>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</si>
  <si>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Заходи, пов'язані з поліпшенням питної води</t>
  </si>
  <si>
    <t>у 2,8 р.б.</t>
  </si>
  <si>
    <t>Податок на доходи фізичних осіб у вигляді мінімального податкового зобов’язання, що підлягає сплаті фізичними особами</t>
  </si>
  <si>
    <t>у 2,3 р.б.</t>
  </si>
  <si>
    <t>у 2,4 р.б.</t>
  </si>
  <si>
    <t>у 2,7 р.б.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</si>
  <si>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</si>
  <si>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місцевого бюджету на виконання окремих заходів з реалізації соціального проекту «Активні парки – локації здорової України» за рахунок відповідної субвенції з державного бюджету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</si>
  <si>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 літакобудування</t>
  </si>
  <si>
    <t>Надходження від орендної плати за користування  майновим комплексом та іншим майном, що перебуває в комунальній власності</t>
  </si>
  <si>
    <t>7330</t>
  </si>
  <si>
    <t>Будівництво  інших об'єктів комунальної власності</t>
  </si>
  <si>
    <t>Інформація про виконання бюджету  Миколаївської міської територіальної громади  за  I півріччя 2024 року (з динамікою змін порівняно за  I півріччя 2023  року)</t>
  </si>
  <si>
    <t>Виконано за I півріччя 2023 року, тис. грн</t>
  </si>
  <si>
    <t>Виконано за I півріччя 2024 року, тис. грн</t>
  </si>
  <si>
    <t>в 3,2 р б.</t>
  </si>
  <si>
    <t>в 7,3 р.б.</t>
  </si>
  <si>
    <t>в 1,5 р.б.</t>
  </si>
  <si>
    <t>0170</t>
  </si>
  <si>
    <t>Підвищення кваліфікації депутатів місцевих рад та посадових осіб місцевоо самоврядування</t>
  </si>
  <si>
    <t>в 9,7 р.б</t>
  </si>
  <si>
    <t>в 2,4 р.б</t>
  </si>
  <si>
    <t>в 1,5  р.б.</t>
  </si>
  <si>
    <t>1200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</si>
  <si>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</si>
  <si>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</si>
  <si>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</si>
  <si>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1,6 рази</t>
  </si>
  <si>
    <t>8600</t>
  </si>
  <si>
    <t>Обслуговування місцевого боргу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</si>
  <si>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</si>
  <si>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</si>
  <si>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Зовнішнє фінансування</t>
  </si>
  <si>
    <t>у 1,7 р.б.</t>
  </si>
  <si>
    <t>у 21 р.б.</t>
  </si>
  <si>
    <t>у 5,4 р.б.</t>
  </si>
  <si>
    <t>у 3 р.б.</t>
  </si>
  <si>
    <t>у 1,9 р.б.</t>
  </si>
  <si>
    <t>у 1,8 р.б.</t>
  </si>
  <si>
    <t>у 8,7 р.б.</t>
  </si>
  <si>
    <t>у 1,6 р.б.</t>
  </si>
  <si>
    <t>у 4,7 р.б.</t>
  </si>
  <si>
    <t>у 9,5 р.б.</t>
  </si>
  <si>
    <t>Податки та збори, не віднесені до інших категорій</t>
  </si>
  <si>
    <t>у 3,8 р.б.</t>
  </si>
  <si>
    <t>у 2,0 р.б</t>
  </si>
  <si>
    <t>Плата за ліцензії на провадження діяльності з організації та проведення азартних ігор у залах гральних автоматів</t>
  </si>
  <si>
    <t>у 4,5 р.б.</t>
  </si>
  <si>
    <t>Державне мито, не віднесене до інших категорій</t>
  </si>
  <si>
    <t>Доходи від операцій з капіталом</t>
  </si>
  <si>
    <t>Надходження коштів від Державного фонду дорогоцінних металів і дорогоцінного каміння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</si>
  <si>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</si>
  <si>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</si>
  <si>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50000000</t>
  </si>
  <si>
    <t>Цільові фонди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</si>
  <si>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</si>
  <si>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</si>
  <si>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3130</t>
  </si>
  <si>
    <t>3133</t>
  </si>
  <si>
    <t>3140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</si>
  <si>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</si>
  <si>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Інші заходи та заклади молодіжної політики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</si>
  <si>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</si>
  <si>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Субвенція з державного бюджету місцевим бюджетам на відновлення об’єктів критичної інфраструктури в рамках спільного з Міжнародним банком реконструкції та розвитку проекту «Проект розвитку міської інфраструктури – 2»</t>
  </si>
  <si>
    <t>у 4,9р.б.</t>
  </si>
  <si>
    <t>в 10,7 р.б.</t>
  </si>
  <si>
    <t>в 7,9 р.б.</t>
  </si>
  <si>
    <t>в 83,9 р.б.</t>
  </si>
  <si>
    <t>у 42,9 р.б.</t>
  </si>
  <si>
    <t>7382</t>
  </si>
  <si>
    <t>Реалізація заходів з відновлення об'єктів критичної інфраструктури в рамках спільного з Міжнародним банком реконструкції та розвитку проекту "Проект розвитку міської інфраструктури - 2"</t>
  </si>
  <si>
    <t>в 2,2 р.б</t>
  </si>
  <si>
    <t>Штрафні санкції, що застосовуються відповідно до Закону України «Про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пального»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</si>
  <si>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</si>
  <si>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</si>
  <si>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у 2000,3 р.б.</t>
  </si>
  <si>
    <t>в 11,3 р.б</t>
  </si>
  <si>
    <t>в 11,5 р.б.</t>
  </si>
  <si>
    <t>в 1,8 р.б</t>
  </si>
  <si>
    <t>в 2,8 р.б.</t>
  </si>
  <si>
    <t>в 2,6 р.б.</t>
  </si>
  <si>
    <t>в 2,1 р.б.</t>
  </si>
  <si>
    <t>в 4,3 р..б.</t>
  </si>
  <si>
    <t>в 3,8 р.б.</t>
  </si>
  <si>
    <t>в 2,7 р.б.</t>
  </si>
  <si>
    <t>в 2,6 р.б</t>
  </si>
  <si>
    <t>в 23,9 р.б.</t>
  </si>
  <si>
    <t>в 22,0 р.б.</t>
  </si>
  <si>
    <t>в 1,7 р.б.</t>
  </si>
  <si>
    <t>в 1,6 р.б.</t>
  </si>
  <si>
    <t>в 7,2 р.б.</t>
  </si>
  <si>
    <t>в 16,7 р.б.</t>
  </si>
  <si>
    <t>в 81,0 р.б.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</si>
</sst>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0.0"/>
    <numFmt numFmtId="166" formatCode="0.0_)"/>
    <numFmt numFmtId="167" formatCode="#,##0.000"/>
    <numFmt numFmtId="168" formatCode="#,##0.0"/>
    <numFmt numFmtId="169" formatCode="#,##0.000;\-#,##0.000"/>
    <numFmt numFmtId="170" formatCode="#,##0.000_ ;\-#,##0.000\ "/>
  </numFmts>
  <fonts count="24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 Cyr"/>
      <charset val="204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1"/>
      <name val="Arial Cyr"/>
      <charset val="204"/>
    </font>
    <font>
      <b/>
      <sz val="14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theme="1"/>
      <name val="Arial Cyr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wrapText="1"/>
    </xf>
    <xf numFmtId="167" fontId="3" fillId="2" borderId="0" xfId="0" applyNumberFormat="1" applyFont="1" applyFill="1"/>
    <xf numFmtId="167" fontId="6" fillId="2" borderId="0" xfId="0" applyNumberFormat="1" applyFont="1" applyFill="1"/>
    <xf numFmtId="165" fontId="6" fillId="2" borderId="0" xfId="0" applyNumberFormat="1" applyFont="1" applyFill="1" applyAlignment="1">
      <alignment horizontal="right"/>
    </xf>
    <xf numFmtId="0" fontId="2" fillId="2" borderId="0" xfId="0" applyFont="1" applyFill="1"/>
    <xf numFmtId="0" fontId="12" fillId="2" borderId="0" xfId="0" applyFont="1" applyFill="1"/>
    <xf numFmtId="165" fontId="3" fillId="2" borderId="0" xfId="0" applyNumberFormat="1" applyFont="1" applyFill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167" fontId="3" fillId="0" borderId="0" xfId="0" applyNumberFormat="1" applyFont="1" applyFill="1"/>
    <xf numFmtId="167" fontId="6" fillId="0" borderId="0" xfId="0" applyNumberFormat="1" applyFont="1" applyFill="1"/>
    <xf numFmtId="165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2" fillId="0" borderId="0" xfId="0" applyFont="1" applyFill="1"/>
    <xf numFmtId="165" fontId="3" fillId="0" borderId="0" xfId="0" applyNumberFormat="1" applyFont="1" applyFill="1" applyAlignment="1">
      <alignment horizontal="right"/>
    </xf>
    <xf numFmtId="49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top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 applyProtection="1">
      <alignment horizontal="center" vertical="top"/>
    </xf>
    <xf numFmtId="166" fontId="5" fillId="0" borderId="1" xfId="0" applyNumberFormat="1" applyFont="1" applyFill="1" applyBorder="1" applyAlignment="1" applyProtection="1">
      <alignment horizontal="left" vertical="top" wrapText="1"/>
      <protection locked="0"/>
    </xf>
    <xf numFmtId="167" fontId="6" fillId="0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166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>
      <alignment wrapText="1"/>
    </xf>
    <xf numFmtId="49" fontId="6" fillId="3" borderId="1" xfId="0" applyNumberFormat="1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>
      <alignment horizontal="justify" wrapText="1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166" fontId="5" fillId="0" borderId="1" xfId="0" applyNumberFormat="1" applyFont="1" applyFill="1" applyBorder="1" applyAlignment="1" applyProtection="1">
      <alignment horizontal="left" vertical="top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vertical="center" wrapText="1"/>
    </xf>
    <xf numFmtId="166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 applyProtection="1">
      <alignment horizontal="center" vertical="top"/>
      <protection locked="0"/>
    </xf>
    <xf numFmtId="166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16" fillId="3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167" fontId="7" fillId="0" borderId="1" xfId="0" applyNumberFormat="1" applyFont="1" applyFill="1" applyBorder="1" applyAlignment="1">
      <alignment vertical="center"/>
    </xf>
    <xf numFmtId="167" fontId="7" fillId="0" borderId="1" xfId="0" applyNumberFormat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/>
    </xf>
    <xf numFmtId="167" fontId="7" fillId="0" borderId="1" xfId="0" applyNumberFormat="1" applyFont="1" applyFill="1" applyBorder="1" applyAlignment="1"/>
    <xf numFmtId="167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167" fontId="6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170" fontId="18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/>
    <xf numFmtId="167" fontId="6" fillId="0" borderId="1" xfId="0" applyNumberFormat="1" applyFont="1" applyFill="1" applyBorder="1"/>
    <xf numFmtId="165" fontId="6" fillId="0" borderId="1" xfId="0" applyNumberFormat="1" applyFont="1" applyFill="1" applyBorder="1" applyAlignment="1">
      <alignment horizontal="right"/>
    </xf>
    <xf numFmtId="166" fontId="6" fillId="0" borderId="1" xfId="0" applyNumberFormat="1" applyFont="1" applyFill="1" applyBorder="1" applyAlignment="1" applyProtection="1">
      <alignment horizontal="left" wrapText="1"/>
      <protection locked="0"/>
    </xf>
    <xf numFmtId="2" fontId="6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16" fillId="0" borderId="0" xfId="0" applyFont="1" applyFill="1"/>
    <xf numFmtId="0" fontId="22" fillId="0" borderId="2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167" fontId="7" fillId="3" borderId="1" xfId="0" applyNumberFormat="1" applyFont="1" applyFill="1" applyBorder="1" applyAlignment="1">
      <alignment vertical="center"/>
    </xf>
    <xf numFmtId="167" fontId="7" fillId="3" borderId="1" xfId="0" applyNumberFormat="1" applyFont="1" applyFill="1" applyBorder="1" applyAlignment="1" applyProtection="1">
      <alignment horizontal="right" vertical="center" wrapText="1"/>
    </xf>
    <xf numFmtId="168" fontId="7" fillId="3" borderId="1" xfId="0" applyNumberFormat="1" applyFont="1" applyFill="1" applyBorder="1" applyAlignment="1" applyProtection="1">
      <alignment horizontal="right" vertical="center" wrapText="1"/>
    </xf>
    <xf numFmtId="165" fontId="7" fillId="3" borderId="1" xfId="0" applyNumberFormat="1" applyFont="1" applyFill="1" applyBorder="1" applyAlignment="1" applyProtection="1">
      <alignment horizontal="right" vertical="center" wrapText="1"/>
    </xf>
    <xf numFmtId="0" fontId="13" fillId="3" borderId="0" xfId="0" applyFont="1" applyFill="1"/>
    <xf numFmtId="0" fontId="6" fillId="3" borderId="1" xfId="0" applyFont="1" applyFill="1" applyBorder="1" applyAlignment="1">
      <alignment horizontal="center" vertical="center"/>
    </xf>
    <xf numFmtId="167" fontId="6" fillId="3" borderId="1" xfId="0" applyNumberFormat="1" applyFont="1" applyFill="1" applyBorder="1" applyAlignment="1">
      <alignment horizontal="right" vertical="center"/>
    </xf>
    <xf numFmtId="167" fontId="6" fillId="3" borderId="1" xfId="0" applyNumberFormat="1" applyFont="1" applyFill="1" applyBorder="1" applyAlignment="1" applyProtection="1">
      <alignment horizontal="right" vertical="center" wrapText="1"/>
    </xf>
    <xf numFmtId="168" fontId="6" fillId="3" borderId="1" xfId="0" applyNumberFormat="1" applyFont="1" applyFill="1" applyBorder="1" applyAlignment="1" applyProtection="1">
      <alignment horizontal="right" vertical="center" wrapText="1"/>
    </xf>
    <xf numFmtId="165" fontId="6" fillId="3" borderId="1" xfId="0" applyNumberFormat="1" applyFont="1" applyFill="1" applyBorder="1" applyAlignment="1" applyProtection="1">
      <alignment horizontal="right" vertical="center" wrapText="1"/>
    </xf>
    <xf numFmtId="0" fontId="9" fillId="3" borderId="0" xfId="0" applyFont="1" applyFill="1"/>
    <xf numFmtId="0" fontId="2" fillId="3" borderId="0" xfId="0" applyFont="1" applyFill="1"/>
    <xf numFmtId="167" fontId="6" fillId="3" borderId="1" xfId="0" applyNumberFormat="1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1" xfId="0" applyNumberFormat="1" applyFont="1" applyFill="1" applyBorder="1" applyAlignment="1">
      <alignment horizontal="center" vertical="center"/>
    </xf>
    <xf numFmtId="167" fontId="6" fillId="3" borderId="1" xfId="0" applyNumberFormat="1" applyFont="1" applyFill="1" applyBorder="1" applyAlignment="1" applyProtection="1">
      <alignment vertical="center"/>
    </xf>
    <xf numFmtId="167" fontId="6" fillId="3" borderId="1" xfId="0" applyNumberFormat="1" applyFont="1" applyFill="1" applyBorder="1" applyAlignment="1" applyProtection="1">
      <alignment horizontal="right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vertical="top" wrapText="1"/>
    </xf>
    <xf numFmtId="167" fontId="19" fillId="3" borderId="1" xfId="0" applyNumberFormat="1" applyFont="1" applyFill="1" applyBorder="1" applyAlignment="1">
      <alignment vertical="center"/>
    </xf>
    <xf numFmtId="167" fontId="19" fillId="3" borderId="1" xfId="0" applyNumberFormat="1" applyFont="1" applyFill="1" applyBorder="1" applyAlignment="1" applyProtection="1">
      <alignment horizontal="right" vertical="center" wrapText="1"/>
    </xf>
    <xf numFmtId="167" fontId="19" fillId="3" borderId="1" xfId="0" applyNumberFormat="1" applyFont="1" applyFill="1" applyBorder="1" applyAlignment="1">
      <alignment horizontal="right" vertical="center"/>
    </xf>
    <xf numFmtId="0" fontId="17" fillId="3" borderId="0" xfId="0" applyFont="1" applyFill="1"/>
    <xf numFmtId="0" fontId="6" fillId="3" borderId="1" xfId="0" applyNumberFormat="1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2" xfId="0" applyNumberFormat="1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164" fontId="20" fillId="3" borderId="2" xfId="0" applyNumberFormat="1" applyFont="1" applyFill="1" applyBorder="1" applyAlignment="1">
      <alignment horizontal="right" vertical="center" wrapText="1"/>
    </xf>
    <xf numFmtId="0" fontId="7" fillId="3" borderId="0" xfId="0" applyFont="1" applyFill="1"/>
    <xf numFmtId="164" fontId="18" fillId="3" borderId="2" xfId="0" applyNumberFormat="1" applyFont="1" applyFill="1" applyBorder="1" applyAlignment="1">
      <alignment horizontal="righ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 vertical="center" wrapText="1"/>
    </xf>
    <xf numFmtId="164" fontId="23" fillId="3" borderId="0" xfId="0" applyNumberFormat="1" applyFont="1" applyFill="1" applyBorder="1" applyAlignment="1">
      <alignment horizontal="right" vertical="center" wrapText="1"/>
    </xf>
    <xf numFmtId="0" fontId="7" fillId="3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vertical="top" wrapText="1"/>
    </xf>
    <xf numFmtId="166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165" fontId="21" fillId="3" borderId="1" xfId="0" applyNumberFormat="1" applyFont="1" applyFill="1" applyBorder="1" applyAlignment="1" applyProtection="1">
      <alignment horizontal="right" vertical="center" wrapText="1"/>
    </xf>
    <xf numFmtId="168" fontId="6" fillId="0" borderId="1" xfId="0" applyNumberFormat="1" applyFont="1" applyFill="1" applyBorder="1" applyAlignment="1" applyProtection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/>
    </xf>
    <xf numFmtId="165" fontId="21" fillId="0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/>
    <xf numFmtId="0" fontId="6" fillId="0" borderId="1" xfId="0" applyNumberFormat="1" applyFont="1" applyFill="1" applyBorder="1" applyAlignment="1">
      <alignment horizontal="left" vertical="center" wrapText="1"/>
    </xf>
    <xf numFmtId="168" fontId="7" fillId="0" borderId="1" xfId="0" applyNumberFormat="1" applyFont="1" applyFill="1" applyBorder="1" applyAlignment="1" applyProtection="1">
      <alignment horizontal="right" vertical="center" wrapText="1"/>
    </xf>
    <xf numFmtId="167" fontId="6" fillId="0" borderId="1" xfId="0" applyNumberFormat="1" applyFont="1" applyFill="1" applyBorder="1" applyAlignment="1" applyProtection="1">
      <alignment horizontal="right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top"/>
    </xf>
    <xf numFmtId="167" fontId="6" fillId="0" borderId="1" xfId="0" applyNumberFormat="1" applyFont="1" applyFill="1" applyBorder="1" applyAlignment="1">
      <alignment horizontal="right" vertical="center" wrapText="1"/>
    </xf>
    <xf numFmtId="167" fontId="10" fillId="0" borderId="1" xfId="0" applyNumberFormat="1" applyFont="1" applyFill="1" applyBorder="1" applyAlignment="1">
      <alignment horizontal="right" vertical="center"/>
    </xf>
    <xf numFmtId="167" fontId="10" fillId="0" borderId="1" xfId="0" applyNumberFormat="1" applyFont="1" applyFill="1" applyBorder="1" applyAlignment="1" applyProtection="1">
      <alignment horizontal="right" vertical="center" wrapText="1"/>
    </xf>
    <xf numFmtId="167" fontId="22" fillId="0" borderId="1" xfId="0" applyNumberFormat="1" applyFont="1" applyFill="1" applyBorder="1" applyAlignment="1">
      <alignment horizontal="right" vertical="top"/>
    </xf>
    <xf numFmtId="165" fontId="6" fillId="0" borderId="1" xfId="0" applyNumberFormat="1" applyFont="1" applyFill="1" applyBorder="1" applyAlignment="1">
      <alignment horizontal="right" vertical="center" wrapText="1"/>
    </xf>
    <xf numFmtId="0" fontId="18" fillId="4" borderId="2" xfId="0" applyFont="1" applyFill="1" applyBorder="1" applyAlignment="1">
      <alignment horizontal="right" vertical="center" wrapText="1"/>
    </xf>
    <xf numFmtId="167" fontId="6" fillId="0" borderId="1" xfId="0" applyNumberFormat="1" applyFont="1" applyFill="1" applyBorder="1" applyAlignment="1" applyProtection="1">
      <alignment horizontal="right" vertical="center"/>
    </xf>
    <xf numFmtId="168" fontId="21" fillId="0" borderId="1" xfId="0" applyNumberFormat="1" applyFont="1" applyFill="1" applyBorder="1" applyAlignment="1" applyProtection="1">
      <alignment horizontal="right" vertical="center" wrapText="1"/>
    </xf>
    <xf numFmtId="169" fontId="18" fillId="0" borderId="2" xfId="0" applyNumberFormat="1" applyFont="1" applyFill="1" applyBorder="1" applyAlignment="1">
      <alignment horizontal="right" vertical="center" wrapText="1"/>
    </xf>
    <xf numFmtId="169" fontId="18" fillId="0" borderId="0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right" vertical="center" wrapText="1"/>
    </xf>
    <xf numFmtId="167" fontId="7" fillId="0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 applyProtection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7" fontId="10" fillId="3" borderId="1" xfId="0" applyNumberFormat="1" applyFont="1" applyFill="1" applyBorder="1" applyAlignment="1">
      <alignment horizontal="right" vertical="center"/>
    </xf>
    <xf numFmtId="167" fontId="6" fillId="3" borderId="3" xfId="0" applyNumberFormat="1" applyFont="1" applyFill="1" applyBorder="1" applyAlignment="1">
      <alignment horizontal="right"/>
    </xf>
    <xf numFmtId="167" fontId="6" fillId="3" borderId="1" xfId="0" applyNumberFormat="1" applyFont="1" applyFill="1" applyBorder="1" applyAlignment="1">
      <alignment horizontal="right"/>
    </xf>
    <xf numFmtId="167" fontId="7" fillId="3" borderId="1" xfId="0" applyNumberFormat="1" applyFont="1" applyFill="1" applyBorder="1" applyAlignment="1">
      <alignment horizontal="right" vertical="center"/>
    </xf>
    <xf numFmtId="167" fontId="6" fillId="3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 wrapText="1"/>
    </xf>
    <xf numFmtId="167" fontId="7" fillId="0" borderId="1" xfId="0" applyNumberFormat="1" applyFont="1" applyFill="1" applyBorder="1" applyAlignment="1" applyProtection="1">
      <alignment horizontal="right" vertical="center"/>
    </xf>
    <xf numFmtId="167" fontId="6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L393"/>
  <sheetViews>
    <sheetView tabSelected="1" view="pageBreakPreview" zoomScale="75" zoomScaleNormal="70" zoomScaleSheetLayoutView="75" workbookViewId="0">
      <pane xSplit="2" ySplit="6" topLeftCell="C229" activePane="bottomRight" state="frozen"/>
      <selection pane="topRight" activeCell="C1" sqref="C1"/>
      <selection pane="bottomLeft" activeCell="A7" sqref="A7"/>
      <selection pane="bottomRight" activeCell="D233" sqref="D233"/>
    </sheetView>
  </sheetViews>
  <sheetFormatPr defaultColWidth="9.140625" defaultRowHeight="18.75"/>
  <cols>
    <col min="1" max="1" width="19.28515625" style="1" customWidth="1"/>
    <col min="2" max="2" width="120.28515625" style="2" customWidth="1"/>
    <col min="3" max="3" width="20.7109375" style="3" customWidth="1"/>
    <col min="4" max="4" width="21.28515625" style="3" customWidth="1"/>
    <col min="5" max="5" width="20.140625" style="4" customWidth="1"/>
    <col min="6" max="6" width="19.5703125" style="5" customWidth="1"/>
    <col min="7" max="7" width="20.5703125" style="3" customWidth="1"/>
    <col min="8" max="8" width="19.5703125" style="3" customWidth="1"/>
    <col min="9" max="9" width="22.28515625" style="3" customWidth="1"/>
    <col min="10" max="10" width="18.7109375" style="8" customWidth="1"/>
    <col min="11" max="16384" width="9.140625" style="6"/>
  </cols>
  <sheetData>
    <row r="1" spans="1:38" s="9" customFormat="1" ht="15.75" customHeight="1">
      <c r="A1" s="10"/>
      <c r="B1" s="11"/>
      <c r="C1" s="12"/>
      <c r="D1" s="12"/>
      <c r="E1" s="13"/>
      <c r="F1" s="14"/>
      <c r="G1" s="12"/>
      <c r="H1" s="15"/>
      <c r="I1" s="15"/>
      <c r="J1" s="15"/>
    </row>
    <row r="2" spans="1:38" s="9" customFormat="1" ht="72" customHeight="1">
      <c r="A2" s="185" t="s">
        <v>335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38" s="9" customFormat="1" ht="21" customHeight="1">
      <c r="A3" s="187" t="s">
        <v>2</v>
      </c>
      <c r="B3" s="187" t="s">
        <v>3</v>
      </c>
      <c r="C3" s="186" t="s">
        <v>0</v>
      </c>
      <c r="D3" s="186"/>
      <c r="E3" s="186"/>
      <c r="F3" s="186"/>
      <c r="G3" s="186" t="s">
        <v>1</v>
      </c>
      <c r="H3" s="186"/>
      <c r="I3" s="186"/>
      <c r="J3" s="186"/>
    </row>
    <row r="4" spans="1:38" s="18" customFormat="1" ht="90" customHeight="1">
      <c r="A4" s="187"/>
      <c r="B4" s="187"/>
      <c r="C4" s="16" t="s">
        <v>336</v>
      </c>
      <c r="D4" s="16" t="s">
        <v>337</v>
      </c>
      <c r="E4" s="16" t="s">
        <v>301</v>
      </c>
      <c r="F4" s="17" t="s">
        <v>300</v>
      </c>
      <c r="G4" s="16" t="s">
        <v>336</v>
      </c>
      <c r="H4" s="16" t="s">
        <v>337</v>
      </c>
      <c r="I4" s="16" t="s">
        <v>301</v>
      </c>
      <c r="J4" s="17" t="s">
        <v>300</v>
      </c>
    </row>
    <row r="5" spans="1:38" s="24" customFormat="1" ht="12.75">
      <c r="A5" s="19">
        <v>1</v>
      </c>
      <c r="B5" s="19">
        <v>2</v>
      </c>
      <c r="C5" s="20">
        <v>3</v>
      </c>
      <c r="D5" s="20">
        <v>4</v>
      </c>
      <c r="E5" s="21">
        <v>5</v>
      </c>
      <c r="F5" s="22">
        <v>6</v>
      </c>
      <c r="G5" s="20">
        <v>7</v>
      </c>
      <c r="H5" s="20">
        <v>8</v>
      </c>
      <c r="I5" s="20">
        <v>9</v>
      </c>
      <c r="J5" s="23">
        <v>10</v>
      </c>
    </row>
    <row r="6" spans="1:38" ht="22.5">
      <c r="A6" s="188" t="s">
        <v>303</v>
      </c>
      <c r="B6" s="188"/>
      <c r="C6" s="188"/>
      <c r="D6" s="188"/>
      <c r="E6" s="188"/>
      <c r="F6" s="188"/>
      <c r="G6" s="188"/>
      <c r="H6" s="188"/>
      <c r="I6" s="188"/>
      <c r="J6" s="18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38" s="106" customFormat="1" ht="21.4" customHeight="1">
      <c r="A7" s="100">
        <v>10000000</v>
      </c>
      <c r="B7" s="101" t="s">
        <v>222</v>
      </c>
      <c r="C7" s="102">
        <f>C8+C18+C19+C25+C44</f>
        <v>2553707.9400000004</v>
      </c>
      <c r="D7" s="102">
        <f>D8+D18+D19+D25+D45</f>
        <v>1765246.25</v>
      </c>
      <c r="E7" s="103">
        <f>D7-C7</f>
        <v>-788461.69000000041</v>
      </c>
      <c r="F7" s="104">
        <f>D7/C7*100</f>
        <v>69.124829129833842</v>
      </c>
      <c r="G7" s="102">
        <f>G44</f>
        <v>318.041</v>
      </c>
      <c r="H7" s="102">
        <f>H44</f>
        <v>449.96899999999999</v>
      </c>
      <c r="I7" s="103">
        <f>SUM(H7-G7)</f>
        <v>131.928</v>
      </c>
      <c r="J7" s="105">
        <f>H7/G7*100</f>
        <v>141.48144421631173</v>
      </c>
    </row>
    <row r="8" spans="1:38" s="112" customFormat="1" ht="31.9" customHeight="1">
      <c r="A8" s="107">
        <v>11000000</v>
      </c>
      <c r="B8" s="56" t="s">
        <v>223</v>
      </c>
      <c r="C8" s="108">
        <f>C9+C16</f>
        <v>2062424.4270000004</v>
      </c>
      <c r="D8" s="108">
        <f>D9+D16</f>
        <v>1051681.6109999998</v>
      </c>
      <c r="E8" s="109">
        <f t="shared" ref="E8:E15" si="0">D8-C8</f>
        <v>-1010742.8160000006</v>
      </c>
      <c r="F8" s="110">
        <f>D8/C8*100</f>
        <v>50.992492002714215</v>
      </c>
      <c r="G8" s="108"/>
      <c r="H8" s="108"/>
      <c r="I8" s="109"/>
      <c r="J8" s="111"/>
      <c r="AL8" s="113"/>
    </row>
    <row r="9" spans="1:38" s="112" customFormat="1" ht="23.45" customHeight="1">
      <c r="A9" s="107">
        <v>11010000</v>
      </c>
      <c r="B9" s="56" t="s">
        <v>224</v>
      </c>
      <c r="C9" s="114">
        <f>SUM(C10:C15)</f>
        <v>2061643.8470000003</v>
      </c>
      <c r="D9" s="114">
        <f>D10+D11+D12+D13+D14+D15</f>
        <v>1049304.7209999999</v>
      </c>
      <c r="E9" s="109">
        <f t="shared" si="0"/>
        <v>-1012339.1260000004</v>
      </c>
      <c r="F9" s="110">
        <f>D9/C9*100</f>
        <v>50.896507780764125</v>
      </c>
      <c r="G9" s="108"/>
      <c r="H9" s="108"/>
      <c r="I9" s="109"/>
      <c r="J9" s="111"/>
    </row>
    <row r="10" spans="1:38" s="112" customFormat="1" ht="45.2" customHeight="1">
      <c r="A10" s="107">
        <v>11010100</v>
      </c>
      <c r="B10" s="56" t="s">
        <v>225</v>
      </c>
      <c r="C10" s="114">
        <v>789663.12</v>
      </c>
      <c r="D10" s="114">
        <v>997879.848</v>
      </c>
      <c r="E10" s="109">
        <f t="shared" si="0"/>
        <v>208216.728</v>
      </c>
      <c r="F10" s="110">
        <f>D10/C10*100</f>
        <v>126.36779187560387</v>
      </c>
      <c r="G10" s="108"/>
      <c r="H10" s="108"/>
      <c r="I10" s="109"/>
      <c r="J10" s="111"/>
    </row>
    <row r="11" spans="1:38" s="112" customFormat="1" ht="59.25" customHeight="1">
      <c r="A11" s="115">
        <v>11010200</v>
      </c>
      <c r="B11" s="56" t="s">
        <v>397</v>
      </c>
      <c r="C11" s="114">
        <v>1240904.3089999999</v>
      </c>
      <c r="D11" s="114"/>
      <c r="E11" s="109">
        <f t="shared" si="0"/>
        <v>-1240904.3089999999</v>
      </c>
      <c r="F11" s="110"/>
      <c r="G11" s="108"/>
      <c r="H11" s="108"/>
      <c r="I11" s="109"/>
      <c r="J11" s="111"/>
    </row>
    <row r="12" spans="1:38" s="112" customFormat="1" ht="41.45" customHeight="1">
      <c r="A12" s="115">
        <v>11010400</v>
      </c>
      <c r="B12" s="56" t="s">
        <v>226</v>
      </c>
      <c r="C12" s="114">
        <v>18577.397000000001</v>
      </c>
      <c r="D12" s="114">
        <v>32152.618999999999</v>
      </c>
      <c r="E12" s="109">
        <f t="shared" si="0"/>
        <v>13575.221999999998</v>
      </c>
      <c r="F12" s="110" t="s">
        <v>356</v>
      </c>
      <c r="G12" s="108"/>
      <c r="H12" s="108"/>
      <c r="I12" s="109"/>
      <c r="J12" s="111"/>
    </row>
    <row r="13" spans="1:38" s="112" customFormat="1" ht="39" customHeight="1">
      <c r="A13" s="115">
        <v>11010500</v>
      </c>
      <c r="B13" s="56" t="s">
        <v>227</v>
      </c>
      <c r="C13" s="114">
        <v>12469.404</v>
      </c>
      <c r="D13" s="114">
        <v>18718.838</v>
      </c>
      <c r="E13" s="109">
        <f t="shared" si="0"/>
        <v>6249.4339999999993</v>
      </c>
      <c r="F13" s="110">
        <f t="shared" ref="F13:F78" si="1">D13/C13*100</f>
        <v>150.11814518159809</v>
      </c>
      <c r="G13" s="108"/>
      <c r="H13" s="108"/>
      <c r="I13" s="109"/>
      <c r="J13" s="111"/>
    </row>
    <row r="14" spans="1:38" s="112" customFormat="1" ht="39" customHeight="1">
      <c r="A14" s="115">
        <v>11011200</v>
      </c>
      <c r="B14" s="56" t="s">
        <v>312</v>
      </c>
      <c r="C14" s="114">
        <v>25.239000000000001</v>
      </c>
      <c r="D14" s="114">
        <v>529.58699999999999</v>
      </c>
      <c r="E14" s="109">
        <f t="shared" si="0"/>
        <v>504.34800000000001</v>
      </c>
      <c r="F14" s="110" t="s">
        <v>357</v>
      </c>
      <c r="G14" s="108"/>
      <c r="H14" s="108"/>
      <c r="I14" s="109"/>
      <c r="J14" s="111"/>
    </row>
    <row r="15" spans="1:38" s="112" customFormat="1" ht="41.45" customHeight="1">
      <c r="A15" s="115">
        <v>11011300</v>
      </c>
      <c r="B15" s="56" t="s">
        <v>325</v>
      </c>
      <c r="C15" s="114">
        <v>4.3780000000000001</v>
      </c>
      <c r="D15" s="114">
        <v>23.829000000000001</v>
      </c>
      <c r="E15" s="109">
        <f t="shared" si="0"/>
        <v>19.451000000000001</v>
      </c>
      <c r="F15" s="110" t="s">
        <v>358</v>
      </c>
      <c r="G15" s="108"/>
      <c r="H15" s="108"/>
      <c r="I15" s="109"/>
      <c r="J15" s="111"/>
    </row>
    <row r="16" spans="1:38" s="112" customFormat="1">
      <c r="A16" s="107">
        <v>11020000</v>
      </c>
      <c r="B16" s="56" t="s">
        <v>228</v>
      </c>
      <c r="C16" s="114">
        <f>C17</f>
        <v>780.58</v>
      </c>
      <c r="D16" s="114">
        <f>D17</f>
        <v>2376.89</v>
      </c>
      <c r="E16" s="109">
        <f>D16-C16</f>
        <v>1596.31</v>
      </c>
      <c r="F16" s="110" t="s">
        <v>359</v>
      </c>
      <c r="G16" s="108"/>
      <c r="H16" s="108"/>
      <c r="I16" s="109"/>
      <c r="J16" s="111"/>
    </row>
    <row r="17" spans="1:10" s="116" customFormat="1" ht="24.6" customHeight="1">
      <c r="A17" s="107">
        <v>11020200</v>
      </c>
      <c r="B17" s="56" t="s">
        <v>229</v>
      </c>
      <c r="C17" s="114">
        <v>780.58</v>
      </c>
      <c r="D17" s="114">
        <v>2376.89</v>
      </c>
      <c r="E17" s="109">
        <f>D17-C17</f>
        <v>1596.31</v>
      </c>
      <c r="F17" s="110" t="s">
        <v>359</v>
      </c>
      <c r="G17" s="108"/>
      <c r="H17" s="108"/>
      <c r="I17" s="109"/>
      <c r="J17" s="111"/>
    </row>
    <row r="18" spans="1:10" s="112" customFormat="1" ht="24.4" customHeight="1">
      <c r="A18" s="117">
        <v>13000000</v>
      </c>
      <c r="B18" s="36" t="s">
        <v>230</v>
      </c>
      <c r="C18" s="118">
        <v>17.283000000000001</v>
      </c>
      <c r="D18" s="114">
        <v>30.093</v>
      </c>
      <c r="E18" s="109">
        <f t="shared" ref="E18" si="2">D18-C18</f>
        <v>12.809999999999999</v>
      </c>
      <c r="F18" s="110" t="s">
        <v>356</v>
      </c>
      <c r="G18" s="108"/>
      <c r="H18" s="108"/>
      <c r="I18" s="109"/>
      <c r="J18" s="111"/>
    </row>
    <row r="19" spans="1:10" s="112" customFormat="1" ht="26.25" customHeight="1">
      <c r="A19" s="117">
        <v>14000000</v>
      </c>
      <c r="B19" s="56" t="s">
        <v>231</v>
      </c>
      <c r="C19" s="119">
        <f>C20+C22+C24</f>
        <v>131106.557</v>
      </c>
      <c r="D19" s="119">
        <f>D20+D22+D24</f>
        <v>169184.40700000001</v>
      </c>
      <c r="E19" s="109">
        <f t="shared" ref="E19:E45" si="3">D19-C19</f>
        <v>38077.850000000006</v>
      </c>
      <c r="F19" s="110">
        <f t="shared" si="1"/>
        <v>129.04343678249441</v>
      </c>
      <c r="G19" s="108"/>
      <c r="H19" s="108"/>
      <c r="I19" s="109"/>
      <c r="J19" s="111"/>
    </row>
    <row r="20" spans="1:10" s="112" customFormat="1" ht="26.25" customHeight="1">
      <c r="A20" s="120" t="s">
        <v>232</v>
      </c>
      <c r="B20" s="56" t="s">
        <v>233</v>
      </c>
      <c r="C20" s="119">
        <f>C21</f>
        <v>4253.7299999999996</v>
      </c>
      <c r="D20" s="119">
        <f>D21</f>
        <v>7898.3980000000001</v>
      </c>
      <c r="E20" s="109">
        <f t="shared" si="3"/>
        <v>3644.6680000000006</v>
      </c>
      <c r="F20" s="110" t="s">
        <v>360</v>
      </c>
      <c r="G20" s="108"/>
      <c r="H20" s="108"/>
      <c r="I20" s="109"/>
      <c r="J20" s="111"/>
    </row>
    <row r="21" spans="1:10" s="112" customFormat="1" ht="22.5" customHeight="1">
      <c r="A21" s="120" t="s">
        <v>234</v>
      </c>
      <c r="B21" s="56" t="s">
        <v>235</v>
      </c>
      <c r="C21" s="118">
        <v>4253.7299999999996</v>
      </c>
      <c r="D21" s="114">
        <v>7898.3980000000001</v>
      </c>
      <c r="E21" s="109">
        <f t="shared" si="3"/>
        <v>3644.6680000000006</v>
      </c>
      <c r="F21" s="110" t="s">
        <v>360</v>
      </c>
      <c r="G21" s="108"/>
      <c r="H21" s="108"/>
      <c r="I21" s="109"/>
      <c r="J21" s="111"/>
    </row>
    <row r="22" spans="1:10" s="112" customFormat="1" ht="27.2" customHeight="1">
      <c r="A22" s="120" t="s">
        <v>236</v>
      </c>
      <c r="B22" s="56" t="s">
        <v>237</v>
      </c>
      <c r="C22" s="119">
        <f>C23</f>
        <v>18026.175999999999</v>
      </c>
      <c r="D22" s="119">
        <f>D23</f>
        <v>43628.122000000003</v>
      </c>
      <c r="E22" s="109">
        <f t="shared" si="3"/>
        <v>25601.946000000004</v>
      </c>
      <c r="F22" s="110" t="s">
        <v>327</v>
      </c>
      <c r="G22" s="108"/>
      <c r="H22" s="108"/>
      <c r="I22" s="109"/>
      <c r="J22" s="111"/>
    </row>
    <row r="23" spans="1:10" s="112" customFormat="1" ht="20.65" customHeight="1">
      <c r="A23" s="120" t="s">
        <v>238</v>
      </c>
      <c r="B23" s="56" t="s">
        <v>235</v>
      </c>
      <c r="C23" s="118">
        <v>18026.175999999999</v>
      </c>
      <c r="D23" s="114">
        <v>43628.122000000003</v>
      </c>
      <c r="E23" s="109">
        <f t="shared" si="3"/>
        <v>25601.946000000004</v>
      </c>
      <c r="F23" s="110" t="s">
        <v>327</v>
      </c>
      <c r="G23" s="108"/>
      <c r="H23" s="108"/>
      <c r="I23" s="109"/>
      <c r="J23" s="111"/>
    </row>
    <row r="24" spans="1:10" s="112" customFormat="1" ht="23.85" customHeight="1">
      <c r="A24" s="107">
        <v>14040000</v>
      </c>
      <c r="B24" s="56" t="s">
        <v>239</v>
      </c>
      <c r="C24" s="114">
        <v>108826.651</v>
      </c>
      <c r="D24" s="114">
        <v>117657.887</v>
      </c>
      <c r="E24" s="109">
        <f t="shared" si="3"/>
        <v>8831.2360000000044</v>
      </c>
      <c r="F24" s="110">
        <f t="shared" si="1"/>
        <v>108.11495706139115</v>
      </c>
      <c r="G24" s="108"/>
      <c r="H24" s="108"/>
      <c r="I24" s="109"/>
      <c r="J24" s="111"/>
    </row>
    <row r="25" spans="1:10" s="112" customFormat="1" ht="40.700000000000003" customHeight="1">
      <c r="A25" s="107">
        <v>18000000</v>
      </c>
      <c r="B25" s="56" t="s">
        <v>240</v>
      </c>
      <c r="C25" s="108">
        <f>C26+C37+C40</f>
        <v>360159.67300000001</v>
      </c>
      <c r="D25" s="108">
        <f>D26+D37+D40</f>
        <v>544350.64100000006</v>
      </c>
      <c r="E25" s="109">
        <f t="shared" si="3"/>
        <v>184190.96800000005</v>
      </c>
      <c r="F25" s="110">
        <f t="shared" si="1"/>
        <v>151.14147468697865</v>
      </c>
      <c r="G25" s="108"/>
      <c r="H25" s="108"/>
      <c r="I25" s="109"/>
      <c r="J25" s="111"/>
    </row>
    <row r="26" spans="1:10" s="112" customFormat="1" ht="23.45" customHeight="1">
      <c r="A26" s="107">
        <v>18010000</v>
      </c>
      <c r="B26" s="56" t="s">
        <v>241</v>
      </c>
      <c r="C26" s="108">
        <f>SUM(C27:C36)</f>
        <v>114600.61900000001</v>
      </c>
      <c r="D26" s="108">
        <f>SUM(D27:D36)</f>
        <v>202103.65599999999</v>
      </c>
      <c r="E26" s="109">
        <f t="shared" si="3"/>
        <v>87503.036999999982</v>
      </c>
      <c r="F26" s="110" t="s">
        <v>361</v>
      </c>
      <c r="G26" s="108"/>
      <c r="H26" s="108"/>
      <c r="I26" s="109"/>
      <c r="J26" s="111"/>
    </row>
    <row r="27" spans="1:10" s="112" customFormat="1" ht="46.35" customHeight="1">
      <c r="A27" s="107">
        <v>18010100</v>
      </c>
      <c r="B27" s="56" t="s">
        <v>242</v>
      </c>
      <c r="C27" s="108">
        <v>95.584999999999994</v>
      </c>
      <c r="D27" s="108">
        <v>218.678</v>
      </c>
      <c r="E27" s="109">
        <f t="shared" si="3"/>
        <v>123.093</v>
      </c>
      <c r="F27" s="110" t="s">
        <v>326</v>
      </c>
      <c r="G27" s="108"/>
      <c r="H27" s="108"/>
      <c r="I27" s="109"/>
      <c r="J27" s="111"/>
    </row>
    <row r="28" spans="1:10" s="112" customFormat="1" ht="42" customHeight="1">
      <c r="A28" s="121">
        <v>18010200</v>
      </c>
      <c r="B28" s="56" t="s">
        <v>243</v>
      </c>
      <c r="C28" s="108">
        <v>265.46600000000001</v>
      </c>
      <c r="D28" s="108">
        <v>1439.2190000000001</v>
      </c>
      <c r="E28" s="109">
        <f t="shared" si="3"/>
        <v>1173.7530000000002</v>
      </c>
      <c r="F28" s="110" t="s">
        <v>358</v>
      </c>
      <c r="G28" s="108"/>
      <c r="H28" s="108"/>
      <c r="I28" s="109"/>
      <c r="J28" s="111"/>
    </row>
    <row r="29" spans="1:10" s="112" customFormat="1" ht="46.35" customHeight="1">
      <c r="A29" s="107">
        <v>18010300</v>
      </c>
      <c r="B29" s="56" t="s">
        <v>244</v>
      </c>
      <c r="C29" s="108">
        <v>575.30399999999997</v>
      </c>
      <c r="D29" s="108">
        <v>5011.7120000000004</v>
      </c>
      <c r="E29" s="109">
        <f t="shared" si="3"/>
        <v>4436.4080000000004</v>
      </c>
      <c r="F29" s="110" t="s">
        <v>362</v>
      </c>
      <c r="G29" s="108"/>
      <c r="H29" s="108"/>
      <c r="I29" s="109"/>
      <c r="J29" s="111"/>
    </row>
    <row r="30" spans="1:10" s="112" customFormat="1" ht="45.75" customHeight="1">
      <c r="A30" s="107">
        <v>18010400</v>
      </c>
      <c r="B30" s="56" t="s">
        <v>245</v>
      </c>
      <c r="C30" s="108">
        <v>16948.564999999999</v>
      </c>
      <c r="D30" s="108">
        <v>27215.646000000001</v>
      </c>
      <c r="E30" s="109">
        <f t="shared" si="3"/>
        <v>10267.081000000002</v>
      </c>
      <c r="F30" s="110" t="s">
        <v>363</v>
      </c>
      <c r="G30" s="108"/>
      <c r="H30" s="108"/>
      <c r="I30" s="109"/>
      <c r="J30" s="111"/>
    </row>
    <row r="31" spans="1:10" s="112" customFormat="1" ht="25.7" customHeight="1">
      <c r="A31" s="107">
        <v>18010500</v>
      </c>
      <c r="B31" s="56" t="s">
        <v>246</v>
      </c>
      <c r="C31" s="108">
        <v>34431.620000000003</v>
      </c>
      <c r="D31" s="108">
        <v>48167.074999999997</v>
      </c>
      <c r="E31" s="109">
        <f t="shared" si="3"/>
        <v>13735.454999999994</v>
      </c>
      <c r="F31" s="110">
        <f t="shared" si="1"/>
        <v>139.89198010433429</v>
      </c>
      <c r="G31" s="108"/>
      <c r="H31" s="108"/>
      <c r="I31" s="109"/>
      <c r="J31" s="111"/>
    </row>
    <row r="32" spans="1:10" s="112" customFormat="1" ht="27.2" customHeight="1">
      <c r="A32" s="107">
        <v>18010600</v>
      </c>
      <c r="B32" s="56" t="s">
        <v>247</v>
      </c>
      <c r="C32" s="108">
        <v>56201.428999999996</v>
      </c>
      <c r="D32" s="108">
        <v>101803.77</v>
      </c>
      <c r="E32" s="109">
        <f t="shared" si="3"/>
        <v>45602.341000000008</v>
      </c>
      <c r="F32" s="110" t="s">
        <v>361</v>
      </c>
      <c r="G32" s="108"/>
      <c r="H32" s="108"/>
      <c r="I32" s="109"/>
      <c r="J32" s="111"/>
    </row>
    <row r="33" spans="1:10" s="112" customFormat="1" ht="27.2" customHeight="1">
      <c r="A33" s="107">
        <v>18010700</v>
      </c>
      <c r="B33" s="56" t="s">
        <v>248</v>
      </c>
      <c r="C33" s="108">
        <v>789.13300000000004</v>
      </c>
      <c r="D33" s="108">
        <v>3891.9409999999998</v>
      </c>
      <c r="E33" s="109">
        <f t="shared" si="3"/>
        <v>3102.808</v>
      </c>
      <c r="F33" s="110" t="s">
        <v>387</v>
      </c>
      <c r="G33" s="108"/>
      <c r="H33" s="108"/>
      <c r="I33" s="109"/>
      <c r="J33" s="111"/>
    </row>
    <row r="34" spans="1:10" s="112" customFormat="1" ht="25.7" customHeight="1">
      <c r="A34" s="107">
        <v>18010900</v>
      </c>
      <c r="B34" s="56" t="s">
        <v>249</v>
      </c>
      <c r="C34" s="108">
        <v>4734.83</v>
      </c>
      <c r="D34" s="108">
        <v>13343.395</v>
      </c>
      <c r="E34" s="109">
        <f t="shared" si="3"/>
        <v>8608.5650000000005</v>
      </c>
      <c r="F34" s="110" t="s">
        <v>324</v>
      </c>
      <c r="G34" s="108"/>
      <c r="H34" s="108"/>
      <c r="I34" s="109"/>
      <c r="J34" s="111"/>
    </row>
    <row r="35" spans="1:10" s="112" customFormat="1" ht="26.25" customHeight="1">
      <c r="A35" s="107">
        <v>18011000</v>
      </c>
      <c r="B35" s="56" t="s">
        <v>250</v>
      </c>
      <c r="C35" s="108">
        <v>287.5</v>
      </c>
      <c r="D35" s="108">
        <v>790.74300000000005</v>
      </c>
      <c r="E35" s="109">
        <f t="shared" si="3"/>
        <v>503.24300000000005</v>
      </c>
      <c r="F35" s="110" t="s">
        <v>324</v>
      </c>
      <c r="G35" s="108"/>
      <c r="H35" s="108"/>
      <c r="I35" s="109"/>
      <c r="J35" s="111"/>
    </row>
    <row r="36" spans="1:10" s="112" customFormat="1" ht="23.85" customHeight="1">
      <c r="A36" s="107">
        <v>18011100</v>
      </c>
      <c r="B36" s="56" t="s">
        <v>251</v>
      </c>
      <c r="C36" s="108">
        <v>271.18700000000001</v>
      </c>
      <c r="D36" s="108">
        <v>221.477</v>
      </c>
      <c r="E36" s="109">
        <f t="shared" si="3"/>
        <v>-49.710000000000008</v>
      </c>
      <c r="F36" s="110">
        <f t="shared" si="1"/>
        <v>81.66947530670717</v>
      </c>
      <c r="G36" s="108"/>
      <c r="H36" s="108"/>
      <c r="I36" s="109"/>
      <c r="J36" s="111"/>
    </row>
    <row r="37" spans="1:10" s="112" customFormat="1" ht="23.45" customHeight="1">
      <c r="A37" s="107">
        <v>18030000</v>
      </c>
      <c r="B37" s="56" t="s">
        <v>252</v>
      </c>
      <c r="C37" s="108">
        <f>C38+C39</f>
        <v>139.82500000000002</v>
      </c>
      <c r="D37" s="108">
        <f>D38+D39</f>
        <v>662.52</v>
      </c>
      <c r="E37" s="109">
        <f t="shared" si="3"/>
        <v>522.69499999999994</v>
      </c>
      <c r="F37" s="110" t="s">
        <v>364</v>
      </c>
      <c r="G37" s="108"/>
      <c r="H37" s="108"/>
      <c r="I37" s="109"/>
      <c r="J37" s="111"/>
    </row>
    <row r="38" spans="1:10" s="112" customFormat="1" ht="23.45" customHeight="1">
      <c r="A38" s="107">
        <v>18030100</v>
      </c>
      <c r="B38" s="56" t="s">
        <v>253</v>
      </c>
      <c r="C38" s="108">
        <v>93.049000000000007</v>
      </c>
      <c r="D38" s="108">
        <v>217.148</v>
      </c>
      <c r="E38" s="109">
        <f t="shared" si="3"/>
        <v>124.09899999999999</v>
      </c>
      <c r="F38" s="110" t="s">
        <v>326</v>
      </c>
      <c r="G38" s="108"/>
      <c r="H38" s="108"/>
      <c r="I38" s="109"/>
      <c r="J38" s="111"/>
    </row>
    <row r="39" spans="1:10" s="112" customFormat="1" ht="24.4" customHeight="1">
      <c r="A39" s="107">
        <v>18030200</v>
      </c>
      <c r="B39" s="56" t="s">
        <v>254</v>
      </c>
      <c r="C39" s="108">
        <v>46.776000000000003</v>
      </c>
      <c r="D39" s="108">
        <v>445.37200000000001</v>
      </c>
      <c r="E39" s="109">
        <f t="shared" si="3"/>
        <v>398.596</v>
      </c>
      <c r="F39" s="110" t="s">
        <v>365</v>
      </c>
      <c r="G39" s="108"/>
      <c r="H39" s="108"/>
      <c r="I39" s="109"/>
      <c r="J39" s="111"/>
    </row>
    <row r="40" spans="1:10" s="112" customFormat="1" ht="27.2" customHeight="1">
      <c r="A40" s="107">
        <v>18050000</v>
      </c>
      <c r="B40" s="56" t="s">
        <v>255</v>
      </c>
      <c r="C40" s="108">
        <f>C41+C42+C43</f>
        <v>245419.22899999999</v>
      </c>
      <c r="D40" s="108">
        <f>D41+D42+D43</f>
        <v>341584.46500000003</v>
      </c>
      <c r="E40" s="109">
        <f t="shared" si="3"/>
        <v>96165.236000000034</v>
      </c>
      <c r="F40" s="110">
        <f t="shared" si="1"/>
        <v>139.18406735765601</v>
      </c>
      <c r="G40" s="108"/>
      <c r="H40" s="108"/>
      <c r="I40" s="109"/>
      <c r="J40" s="111"/>
    </row>
    <row r="41" spans="1:10" s="112" customFormat="1" ht="25.7" customHeight="1">
      <c r="A41" s="107">
        <v>18050300</v>
      </c>
      <c r="B41" s="56" t="s">
        <v>256</v>
      </c>
      <c r="C41" s="108">
        <v>61463.853000000003</v>
      </c>
      <c r="D41" s="108">
        <v>50098.114999999998</v>
      </c>
      <c r="E41" s="109">
        <f t="shared" si="3"/>
        <v>-11365.738000000005</v>
      </c>
      <c r="F41" s="110">
        <f t="shared" si="1"/>
        <v>81.508256568295508</v>
      </c>
      <c r="G41" s="108"/>
      <c r="H41" s="108"/>
      <c r="I41" s="109"/>
      <c r="J41" s="111"/>
    </row>
    <row r="42" spans="1:10" s="112" customFormat="1" ht="29.1" customHeight="1">
      <c r="A42" s="107">
        <v>18050400</v>
      </c>
      <c r="B42" s="56" t="s">
        <v>257</v>
      </c>
      <c r="C42" s="108">
        <v>183955.37599999999</v>
      </c>
      <c r="D42" s="108">
        <v>291481.17800000001</v>
      </c>
      <c r="E42" s="109">
        <f t="shared" si="3"/>
        <v>107525.80200000003</v>
      </c>
      <c r="F42" s="110">
        <f t="shared" si="1"/>
        <v>158.45211177736934</v>
      </c>
      <c r="G42" s="108"/>
      <c r="H42" s="108"/>
      <c r="I42" s="109"/>
      <c r="J42" s="111"/>
    </row>
    <row r="43" spans="1:10" s="112" customFormat="1" ht="45.75" customHeight="1">
      <c r="A43" s="107">
        <v>18050500</v>
      </c>
      <c r="B43" s="56" t="s">
        <v>258</v>
      </c>
      <c r="C43" s="108"/>
      <c r="D43" s="108">
        <v>5.1719999999999997</v>
      </c>
      <c r="E43" s="109">
        <f t="shared" si="3"/>
        <v>5.1719999999999997</v>
      </c>
      <c r="F43" s="110"/>
      <c r="G43" s="108"/>
      <c r="H43" s="108"/>
      <c r="I43" s="109"/>
      <c r="J43" s="111"/>
    </row>
    <row r="44" spans="1:10" s="112" customFormat="1" ht="26.25" customHeight="1">
      <c r="A44" s="107">
        <v>19010000</v>
      </c>
      <c r="B44" s="56" t="s">
        <v>259</v>
      </c>
      <c r="C44" s="114"/>
      <c r="D44" s="114"/>
      <c r="E44" s="109"/>
      <c r="F44" s="110"/>
      <c r="G44" s="108">
        <v>318.041</v>
      </c>
      <c r="H44" s="108">
        <v>449.96899999999999</v>
      </c>
      <c r="I44" s="109">
        <f>SUM(H44-G44)</f>
        <v>131.928</v>
      </c>
      <c r="J44" s="111">
        <f>H44/G44*100</f>
        <v>141.48144421631173</v>
      </c>
    </row>
    <row r="45" spans="1:10" s="112" customFormat="1" ht="26.25" customHeight="1">
      <c r="A45" s="107">
        <v>19090500</v>
      </c>
      <c r="B45" s="56" t="s">
        <v>366</v>
      </c>
      <c r="C45" s="114"/>
      <c r="D45" s="114">
        <v>-0.502</v>
      </c>
      <c r="E45" s="109">
        <f t="shared" si="3"/>
        <v>-0.502</v>
      </c>
      <c r="F45" s="110"/>
      <c r="G45" s="108"/>
      <c r="H45" s="108"/>
      <c r="I45" s="109"/>
      <c r="J45" s="111"/>
    </row>
    <row r="46" spans="1:10" s="106" customFormat="1" ht="22.5" customHeight="1">
      <c r="A46" s="100">
        <v>20000000</v>
      </c>
      <c r="B46" s="122" t="s">
        <v>260</v>
      </c>
      <c r="C46" s="102">
        <f>C47+C55+C67</f>
        <v>24796.447</v>
      </c>
      <c r="D46" s="102">
        <f>D47+D55+D67</f>
        <v>37202.830999999998</v>
      </c>
      <c r="E46" s="103">
        <f>D46-C46</f>
        <v>12406.383999999998</v>
      </c>
      <c r="F46" s="104">
        <f t="shared" si="1"/>
        <v>150.0329099568176</v>
      </c>
      <c r="G46" s="102">
        <f>G67+G75</f>
        <v>103953.99799999999</v>
      </c>
      <c r="H46" s="102">
        <f>H67+H75</f>
        <v>134913.86000000002</v>
      </c>
      <c r="I46" s="103">
        <f>SUM(H46-G46)</f>
        <v>30959.862000000023</v>
      </c>
      <c r="J46" s="105">
        <f t="shared" ref="J46" si="4">H46/G46*100</f>
        <v>129.78227157747219</v>
      </c>
    </row>
    <row r="47" spans="1:10" s="112" customFormat="1" ht="28.15" customHeight="1">
      <c r="A47" s="107">
        <v>21000000</v>
      </c>
      <c r="B47" s="56" t="s">
        <v>261</v>
      </c>
      <c r="C47" s="108">
        <f>C48</f>
        <v>3307.7109999999998</v>
      </c>
      <c r="D47" s="108">
        <f>D48</f>
        <v>5578.2840000000006</v>
      </c>
      <c r="E47" s="109">
        <f>D47-C47</f>
        <v>2270.5730000000008</v>
      </c>
      <c r="F47" s="110" t="s">
        <v>356</v>
      </c>
      <c r="G47" s="108"/>
      <c r="H47" s="108"/>
      <c r="I47" s="109"/>
      <c r="J47" s="150"/>
    </row>
    <row r="48" spans="1:10" s="112" customFormat="1" ht="23.85" customHeight="1">
      <c r="A48" s="107">
        <v>21080000</v>
      </c>
      <c r="B48" s="56" t="s">
        <v>262</v>
      </c>
      <c r="C48" s="114">
        <f>C49+C53+C50+C51+C52+C54</f>
        <v>3307.7109999999998</v>
      </c>
      <c r="D48" s="114">
        <f>D49+D53+D50+D51+D52+D54</f>
        <v>5578.2840000000006</v>
      </c>
      <c r="E48" s="109">
        <f>D48-C48</f>
        <v>2270.5730000000008</v>
      </c>
      <c r="F48" s="110" t="s">
        <v>356</v>
      </c>
      <c r="G48" s="108"/>
      <c r="H48" s="108"/>
      <c r="I48" s="109"/>
      <c r="J48" s="150"/>
    </row>
    <row r="49" spans="1:10" s="154" customFormat="1" ht="23.45" customHeight="1">
      <c r="A49" s="77">
        <v>21080500</v>
      </c>
      <c r="B49" s="50" t="s">
        <v>262</v>
      </c>
      <c r="C49" s="34"/>
      <c r="D49" s="34"/>
      <c r="E49" s="73"/>
      <c r="F49" s="151"/>
      <c r="G49" s="152"/>
      <c r="H49" s="152"/>
      <c r="I49" s="73"/>
      <c r="J49" s="153"/>
    </row>
    <row r="50" spans="1:10" s="112" customFormat="1" ht="29.1" customHeight="1">
      <c r="A50" s="107">
        <v>21081100</v>
      </c>
      <c r="B50" s="56" t="s">
        <v>263</v>
      </c>
      <c r="C50" s="114">
        <v>2458.9560000000001</v>
      </c>
      <c r="D50" s="114">
        <v>2908.0039999999999</v>
      </c>
      <c r="E50" s="109">
        <f>D50-C50</f>
        <v>449.04799999999977</v>
      </c>
      <c r="F50" s="110">
        <f t="shared" si="1"/>
        <v>118.26173384151647</v>
      </c>
      <c r="G50" s="108"/>
      <c r="H50" s="108"/>
      <c r="I50" s="109"/>
      <c r="J50" s="150"/>
    </row>
    <row r="51" spans="1:10" s="112" customFormat="1" ht="75" customHeight="1">
      <c r="A51" s="107">
        <v>21081500</v>
      </c>
      <c r="B51" s="36" t="s">
        <v>395</v>
      </c>
      <c r="C51" s="114">
        <v>711.76099999999997</v>
      </c>
      <c r="D51" s="114">
        <v>1295.4590000000001</v>
      </c>
      <c r="E51" s="109">
        <f>D51-C51</f>
        <v>583.69800000000009</v>
      </c>
      <c r="F51" s="110" t="s">
        <v>361</v>
      </c>
      <c r="G51" s="108"/>
      <c r="H51" s="108"/>
      <c r="I51" s="109"/>
      <c r="J51" s="150"/>
    </row>
    <row r="52" spans="1:10" s="112" customFormat="1" ht="21.95" customHeight="1">
      <c r="A52" s="107">
        <v>21081700</v>
      </c>
      <c r="B52" s="36" t="s">
        <v>396</v>
      </c>
      <c r="C52" s="114">
        <v>80</v>
      </c>
      <c r="D52" s="114">
        <v>300</v>
      </c>
      <c r="E52" s="109">
        <f t="shared" ref="E52" si="5">D52-C52</f>
        <v>220</v>
      </c>
      <c r="F52" s="110" t="s">
        <v>367</v>
      </c>
      <c r="G52" s="108"/>
      <c r="H52" s="108"/>
      <c r="I52" s="109"/>
      <c r="J52" s="150"/>
    </row>
    <row r="53" spans="1:10" s="128" customFormat="1" ht="47.25" customHeight="1">
      <c r="A53" s="123">
        <v>21081800</v>
      </c>
      <c r="B53" s="124" t="s">
        <v>308</v>
      </c>
      <c r="C53" s="125">
        <v>4.8000000000000001E-2</v>
      </c>
      <c r="D53" s="125">
        <v>961.44500000000005</v>
      </c>
      <c r="E53" s="126">
        <f t="shared" ref="E53:E70" si="6">D53-C53</f>
        <v>961.39700000000005</v>
      </c>
      <c r="F53" s="110" t="s">
        <v>398</v>
      </c>
      <c r="G53" s="127"/>
      <c r="H53" s="127"/>
      <c r="I53" s="126"/>
      <c r="J53" s="150"/>
    </row>
    <row r="54" spans="1:10" s="112" customFormat="1" ht="58.5" customHeight="1">
      <c r="A54" s="107">
        <v>21082400</v>
      </c>
      <c r="B54" s="59" t="s">
        <v>292</v>
      </c>
      <c r="C54" s="114">
        <v>56.945999999999998</v>
      </c>
      <c r="D54" s="114">
        <v>113.376</v>
      </c>
      <c r="E54" s="109">
        <f t="shared" si="6"/>
        <v>56.430000000000007</v>
      </c>
      <c r="F54" s="110" t="s">
        <v>368</v>
      </c>
      <c r="G54" s="108"/>
      <c r="H54" s="108"/>
      <c r="I54" s="109"/>
      <c r="J54" s="150"/>
    </row>
    <row r="55" spans="1:10" s="112" customFormat="1" ht="32.25" customHeight="1">
      <c r="A55" s="107">
        <v>22000000</v>
      </c>
      <c r="B55" s="56" t="s">
        <v>264</v>
      </c>
      <c r="C55" s="108">
        <f>C56+C62+C63</f>
        <v>15810.673000000001</v>
      </c>
      <c r="D55" s="108">
        <f>D56+D62+D61+D63</f>
        <v>20205.368999999999</v>
      </c>
      <c r="E55" s="109">
        <f t="shared" si="6"/>
        <v>4394.6959999999981</v>
      </c>
      <c r="F55" s="110">
        <f t="shared" si="1"/>
        <v>127.79575543684952</v>
      </c>
      <c r="G55" s="108"/>
      <c r="H55" s="108"/>
      <c r="I55" s="109"/>
      <c r="J55" s="150"/>
    </row>
    <row r="56" spans="1:10" s="112" customFormat="1" ht="28.5" customHeight="1">
      <c r="A56" s="107">
        <v>22010000</v>
      </c>
      <c r="B56" s="56" t="s">
        <v>265</v>
      </c>
      <c r="C56" s="108">
        <f>C60+C59+C58+C57</f>
        <v>13039.228999999999</v>
      </c>
      <c r="D56" s="108">
        <f>D60+D59+D58+D57</f>
        <v>15940.503000000001</v>
      </c>
      <c r="E56" s="109">
        <f t="shared" si="6"/>
        <v>2901.2740000000013</v>
      </c>
      <c r="F56" s="110">
        <f t="shared" si="1"/>
        <v>122.25034931129748</v>
      </c>
      <c r="G56" s="108"/>
      <c r="H56" s="108"/>
      <c r="I56" s="109"/>
      <c r="J56" s="150"/>
    </row>
    <row r="57" spans="1:10" s="112" customFormat="1" ht="51" customHeight="1">
      <c r="A57" s="107">
        <v>22010300</v>
      </c>
      <c r="B57" s="36" t="s">
        <v>266</v>
      </c>
      <c r="C57" s="108">
        <v>135.35900000000001</v>
      </c>
      <c r="D57" s="108">
        <v>167.976</v>
      </c>
      <c r="E57" s="109">
        <f t="shared" si="6"/>
        <v>32.61699999999999</v>
      </c>
      <c r="F57" s="110">
        <f t="shared" si="1"/>
        <v>124.09666147060778</v>
      </c>
      <c r="G57" s="108"/>
      <c r="H57" s="108"/>
      <c r="I57" s="109"/>
      <c r="J57" s="150"/>
    </row>
    <row r="58" spans="1:10" s="112" customFormat="1" ht="25.15" customHeight="1">
      <c r="A58" s="107">
        <v>22012500</v>
      </c>
      <c r="B58" s="56" t="s">
        <v>267</v>
      </c>
      <c r="C58" s="108">
        <v>12796.191999999999</v>
      </c>
      <c r="D58" s="108">
        <v>15486.605</v>
      </c>
      <c r="E58" s="109">
        <f t="shared" si="6"/>
        <v>2690.4130000000005</v>
      </c>
      <c r="F58" s="110">
        <f t="shared" si="1"/>
        <v>121.02510653169318</v>
      </c>
      <c r="G58" s="108"/>
      <c r="H58" s="108"/>
      <c r="I58" s="109"/>
      <c r="J58" s="150"/>
    </row>
    <row r="59" spans="1:10" s="112" customFormat="1" ht="26.25" customHeight="1">
      <c r="A59" s="107">
        <v>22012600</v>
      </c>
      <c r="B59" s="36" t="s">
        <v>268</v>
      </c>
      <c r="C59" s="108">
        <v>107</v>
      </c>
      <c r="D59" s="108">
        <v>285.68200000000002</v>
      </c>
      <c r="E59" s="109">
        <f t="shared" si="6"/>
        <v>178.68200000000002</v>
      </c>
      <c r="F59" s="110" t="s">
        <v>328</v>
      </c>
      <c r="G59" s="108"/>
      <c r="H59" s="108"/>
      <c r="I59" s="109"/>
      <c r="J59" s="150"/>
    </row>
    <row r="60" spans="1:10" s="112" customFormat="1" ht="76.5" customHeight="1">
      <c r="A60" s="107">
        <v>22012900</v>
      </c>
      <c r="B60" s="129" t="s">
        <v>269</v>
      </c>
      <c r="C60" s="108">
        <v>0.67800000000000005</v>
      </c>
      <c r="D60" s="108">
        <v>0.24</v>
      </c>
      <c r="E60" s="109">
        <f t="shared" si="6"/>
        <v>-0.43800000000000006</v>
      </c>
      <c r="F60" s="110">
        <f t="shared" si="1"/>
        <v>35.398230088495566</v>
      </c>
      <c r="G60" s="108"/>
      <c r="H60" s="108"/>
      <c r="I60" s="109"/>
      <c r="J60" s="150"/>
    </row>
    <row r="61" spans="1:10" s="112" customFormat="1" ht="45.75" customHeight="1">
      <c r="A61" s="107">
        <v>22020400</v>
      </c>
      <c r="B61" s="129" t="s">
        <v>369</v>
      </c>
      <c r="C61" s="108"/>
      <c r="D61" s="108">
        <v>1285.7139999999999</v>
      </c>
      <c r="E61" s="109">
        <f t="shared" si="6"/>
        <v>1285.7139999999999</v>
      </c>
      <c r="F61" s="110"/>
      <c r="G61" s="108"/>
      <c r="H61" s="108"/>
      <c r="I61" s="109"/>
      <c r="J61" s="150"/>
    </row>
    <row r="62" spans="1:10" s="112" customFormat="1" ht="39.75" customHeight="1">
      <c r="A62" s="107">
        <v>22080400</v>
      </c>
      <c r="B62" s="130" t="s">
        <v>332</v>
      </c>
      <c r="C62" s="108">
        <v>2636.201</v>
      </c>
      <c r="D62" s="108">
        <v>2775.694</v>
      </c>
      <c r="E62" s="109">
        <f t="shared" si="6"/>
        <v>139.49299999999994</v>
      </c>
      <c r="F62" s="110">
        <f t="shared" si="1"/>
        <v>105.29144022022601</v>
      </c>
      <c r="G62" s="108"/>
      <c r="H62" s="108"/>
      <c r="I62" s="109"/>
      <c r="J62" s="150"/>
    </row>
    <row r="63" spans="1:10" s="112" customFormat="1" ht="27.6" customHeight="1">
      <c r="A63" s="107">
        <v>22090000</v>
      </c>
      <c r="B63" s="56" t="s">
        <v>270</v>
      </c>
      <c r="C63" s="114">
        <f>C64+C66</f>
        <v>135.24299999999999</v>
      </c>
      <c r="D63" s="114">
        <f>D64+D65+D66</f>
        <v>203.458</v>
      </c>
      <c r="E63" s="109">
        <f t="shared" si="6"/>
        <v>68.215000000000003</v>
      </c>
      <c r="F63" s="110">
        <f t="shared" si="1"/>
        <v>150.43883971813699</v>
      </c>
      <c r="G63" s="108"/>
      <c r="H63" s="108"/>
      <c r="I63" s="109"/>
      <c r="J63" s="150"/>
    </row>
    <row r="64" spans="1:10" s="112" customFormat="1" ht="55.5" customHeight="1">
      <c r="A64" s="107">
        <v>22090100</v>
      </c>
      <c r="B64" s="130" t="s">
        <v>271</v>
      </c>
      <c r="C64" s="108">
        <v>18.074000000000002</v>
      </c>
      <c r="D64" s="108">
        <v>80.971000000000004</v>
      </c>
      <c r="E64" s="109">
        <f t="shared" si="6"/>
        <v>62.897000000000006</v>
      </c>
      <c r="F64" s="110" t="s">
        <v>370</v>
      </c>
      <c r="G64" s="108"/>
      <c r="H64" s="108"/>
      <c r="I64" s="109"/>
      <c r="J64" s="150"/>
    </row>
    <row r="65" spans="1:10" s="154" customFormat="1" ht="55.5" customHeight="1">
      <c r="A65" s="77">
        <v>22090200</v>
      </c>
      <c r="B65" s="155" t="s">
        <v>371</v>
      </c>
      <c r="C65" s="152"/>
      <c r="D65" s="152">
        <v>3.0000000000000001E-3</v>
      </c>
      <c r="E65" s="73"/>
      <c r="F65" s="151"/>
      <c r="G65" s="152"/>
      <c r="H65" s="152"/>
      <c r="I65" s="73"/>
      <c r="J65" s="153"/>
    </row>
    <row r="66" spans="1:10" s="112" customFormat="1" ht="40.9" customHeight="1">
      <c r="A66" s="107">
        <v>22090400</v>
      </c>
      <c r="B66" s="56" t="s">
        <v>272</v>
      </c>
      <c r="C66" s="108">
        <v>117.169</v>
      </c>
      <c r="D66" s="108">
        <v>122.48399999999999</v>
      </c>
      <c r="E66" s="109">
        <f t="shared" si="6"/>
        <v>5.3149999999999977</v>
      </c>
      <c r="F66" s="110">
        <f t="shared" si="1"/>
        <v>104.53618277872134</v>
      </c>
      <c r="G66" s="108"/>
      <c r="H66" s="108"/>
      <c r="I66" s="109"/>
      <c r="J66" s="150"/>
    </row>
    <row r="67" spans="1:10" s="112" customFormat="1" ht="25.7" customHeight="1">
      <c r="A67" s="107">
        <v>24000000</v>
      </c>
      <c r="B67" s="56" t="s">
        <v>273</v>
      </c>
      <c r="C67" s="108">
        <f>C68+C73</f>
        <v>5678.0630000000001</v>
      </c>
      <c r="D67" s="108">
        <f>D68+D73</f>
        <v>11419.178</v>
      </c>
      <c r="E67" s="109">
        <f t="shared" si="6"/>
        <v>5741.1149999999998</v>
      </c>
      <c r="F67" s="110" t="s">
        <v>368</v>
      </c>
      <c r="G67" s="108">
        <f>G68+G73+G74</f>
        <v>193.90100000000001</v>
      </c>
      <c r="H67" s="108">
        <f>H68+H73+H74</f>
        <v>2066.8330000000001</v>
      </c>
      <c r="I67" s="109">
        <f>SUM(H67-G67)</f>
        <v>1872.932</v>
      </c>
      <c r="J67" s="111" t="s">
        <v>388</v>
      </c>
    </row>
    <row r="68" spans="1:10" s="112" customFormat="1" ht="33" customHeight="1">
      <c r="A68" s="107">
        <v>24060000</v>
      </c>
      <c r="B68" s="56" t="s">
        <v>262</v>
      </c>
      <c r="C68" s="108">
        <f>C69+C72+C70</f>
        <v>5678.0630000000001</v>
      </c>
      <c r="D68" s="108">
        <f>D69+D72+D70</f>
        <v>11419.178</v>
      </c>
      <c r="E68" s="109">
        <f t="shared" si="6"/>
        <v>5741.1149999999998</v>
      </c>
      <c r="F68" s="110" t="s">
        <v>368</v>
      </c>
      <c r="G68" s="108">
        <f>G71</f>
        <v>42.381999999999998</v>
      </c>
      <c r="H68" s="108">
        <f>H71</f>
        <v>336.673</v>
      </c>
      <c r="I68" s="109">
        <f>SUM(H68-G68)</f>
        <v>294.291</v>
      </c>
      <c r="J68" s="111" t="s">
        <v>389</v>
      </c>
    </row>
    <row r="69" spans="1:10" s="112" customFormat="1" ht="42" customHeight="1">
      <c r="A69" s="107">
        <v>24060300</v>
      </c>
      <c r="B69" s="56" t="s">
        <v>262</v>
      </c>
      <c r="C69" s="114">
        <v>4729.2030000000004</v>
      </c>
      <c r="D69" s="114">
        <v>5763.3680000000004</v>
      </c>
      <c r="E69" s="109">
        <f t="shared" si="6"/>
        <v>1034.165</v>
      </c>
      <c r="F69" s="110">
        <f t="shared" si="1"/>
        <v>121.86763816228654</v>
      </c>
      <c r="G69" s="108"/>
      <c r="H69" s="108"/>
      <c r="I69" s="109"/>
      <c r="J69" s="111"/>
    </row>
    <row r="70" spans="1:10" s="112" customFormat="1" ht="56.25" customHeight="1">
      <c r="A70" s="107">
        <v>24061900</v>
      </c>
      <c r="B70" s="56" t="s">
        <v>295</v>
      </c>
      <c r="C70" s="114">
        <v>74.831000000000003</v>
      </c>
      <c r="D70" s="114">
        <v>3213.24</v>
      </c>
      <c r="E70" s="109">
        <f t="shared" si="6"/>
        <v>3138.4089999999997</v>
      </c>
      <c r="F70" s="110" t="s">
        <v>391</v>
      </c>
      <c r="G70" s="108"/>
      <c r="H70" s="108"/>
      <c r="I70" s="109"/>
      <c r="J70" s="111"/>
    </row>
    <row r="71" spans="1:10" s="112" customFormat="1" ht="57" customHeight="1">
      <c r="A71" s="107">
        <v>24062100</v>
      </c>
      <c r="B71" s="56" t="s">
        <v>274</v>
      </c>
      <c r="C71" s="114"/>
      <c r="D71" s="114"/>
      <c r="E71" s="109"/>
      <c r="F71" s="110"/>
      <c r="G71" s="108">
        <v>42.381999999999998</v>
      </c>
      <c r="H71" s="108">
        <v>336.673</v>
      </c>
      <c r="I71" s="109">
        <f>SUM(H71-G71)</f>
        <v>294.291</v>
      </c>
      <c r="J71" s="111" t="s">
        <v>389</v>
      </c>
    </row>
    <row r="72" spans="1:10" s="112" customFormat="1" ht="95.25" customHeight="1">
      <c r="A72" s="107">
        <v>24062200</v>
      </c>
      <c r="B72" s="129" t="s">
        <v>275</v>
      </c>
      <c r="C72" s="114">
        <v>874.029</v>
      </c>
      <c r="D72" s="114">
        <v>2442.5700000000002</v>
      </c>
      <c r="E72" s="109">
        <f>D72-C72</f>
        <v>1568.5410000000002</v>
      </c>
      <c r="F72" s="110" t="s">
        <v>324</v>
      </c>
      <c r="G72" s="108"/>
      <c r="H72" s="108"/>
      <c r="I72" s="109"/>
      <c r="J72" s="111"/>
    </row>
    <row r="73" spans="1:10" s="112" customFormat="1" ht="54.75" customHeight="1">
      <c r="A73" s="107">
        <v>24110900</v>
      </c>
      <c r="B73" s="56" t="s">
        <v>276</v>
      </c>
      <c r="C73" s="114"/>
      <c r="D73" s="114"/>
      <c r="E73" s="109"/>
      <c r="F73" s="110"/>
      <c r="G73" s="108">
        <v>132.20400000000001</v>
      </c>
      <c r="H73" s="108">
        <v>108.718</v>
      </c>
      <c r="I73" s="109">
        <f>SUM(H73-G73)</f>
        <v>-23.486000000000004</v>
      </c>
      <c r="J73" s="111">
        <f>H73/G73*100</f>
        <v>82.235030710114671</v>
      </c>
    </row>
    <row r="74" spans="1:10" s="112" customFormat="1" ht="22.5" customHeight="1">
      <c r="A74" s="107">
        <v>24170000</v>
      </c>
      <c r="B74" s="131" t="s">
        <v>316</v>
      </c>
      <c r="C74" s="132"/>
      <c r="D74" s="114"/>
      <c r="E74" s="109"/>
      <c r="F74" s="110"/>
      <c r="G74" s="108">
        <v>19.315000000000001</v>
      </c>
      <c r="H74" s="108">
        <v>1621.442</v>
      </c>
      <c r="I74" s="109">
        <f>H74-G74</f>
        <v>1602.127</v>
      </c>
      <c r="J74" s="111" t="s">
        <v>390</v>
      </c>
    </row>
    <row r="75" spans="1:10" s="112" customFormat="1" ht="20.25" customHeight="1">
      <c r="A75" s="107">
        <v>25000000</v>
      </c>
      <c r="B75" s="130" t="s">
        <v>277</v>
      </c>
      <c r="C75" s="114"/>
      <c r="D75" s="114"/>
      <c r="E75" s="109"/>
      <c r="F75" s="110"/>
      <c r="G75" s="133">
        <v>103760.09699999999</v>
      </c>
      <c r="H75" s="133">
        <v>132847.027</v>
      </c>
      <c r="I75" s="109">
        <f>SUM(H75-G75)</f>
        <v>29086.930000000008</v>
      </c>
      <c r="J75" s="111">
        <f>H75/G75*100</f>
        <v>128.03286700859582</v>
      </c>
    </row>
    <row r="76" spans="1:10" s="106" customFormat="1" ht="20.25" customHeight="1">
      <c r="A76" s="100">
        <v>30000000</v>
      </c>
      <c r="B76" s="122" t="s">
        <v>372</v>
      </c>
      <c r="C76" s="102"/>
      <c r="D76" s="102">
        <f>D77</f>
        <v>0.10199999999999999</v>
      </c>
      <c r="E76" s="103">
        <f t="shared" ref="E76:E77" si="7">D76-C76</f>
        <v>0.10199999999999999</v>
      </c>
      <c r="F76" s="104"/>
      <c r="G76" s="134">
        <v>118.92</v>
      </c>
      <c r="H76" s="134"/>
      <c r="I76" s="103">
        <f>H76-G76</f>
        <v>-118.92</v>
      </c>
      <c r="J76" s="111"/>
    </row>
    <row r="77" spans="1:10" s="112" customFormat="1" ht="20.25" customHeight="1">
      <c r="A77" s="107">
        <v>31020000</v>
      </c>
      <c r="B77" s="130" t="s">
        <v>373</v>
      </c>
      <c r="C77" s="114"/>
      <c r="D77" s="114">
        <v>0.10199999999999999</v>
      </c>
      <c r="E77" s="109">
        <f t="shared" si="7"/>
        <v>0.10199999999999999</v>
      </c>
      <c r="F77" s="110"/>
      <c r="G77" s="133"/>
      <c r="H77" s="133"/>
      <c r="I77" s="109"/>
      <c r="J77" s="150"/>
    </row>
    <row r="78" spans="1:10" s="106" customFormat="1" ht="29.25" customHeight="1">
      <c r="A78" s="100"/>
      <c r="B78" s="101" t="s">
        <v>278</v>
      </c>
      <c r="C78" s="102">
        <f>C7+C46+C77</f>
        <v>2578504.3870000006</v>
      </c>
      <c r="D78" s="102">
        <f>D7+D46+D76</f>
        <v>1802449.183</v>
      </c>
      <c r="E78" s="103">
        <f>D78-C78</f>
        <v>-776055.20400000061</v>
      </c>
      <c r="F78" s="104">
        <f t="shared" si="1"/>
        <v>69.90289378941435</v>
      </c>
      <c r="G78" s="102">
        <f>G7+G46+G76</f>
        <v>104390.95899999999</v>
      </c>
      <c r="H78" s="102">
        <f>H7+H46</f>
        <v>135363.82900000003</v>
      </c>
      <c r="I78" s="103">
        <f>SUM(H78-G78)</f>
        <v>30972.870000000039</v>
      </c>
      <c r="J78" s="105">
        <f>H78/G78*100</f>
        <v>129.67006941664368</v>
      </c>
    </row>
    <row r="79" spans="1:10" s="112" customFormat="1" ht="35.25" customHeight="1">
      <c r="A79" s="100">
        <v>40000000</v>
      </c>
      <c r="B79" s="101" t="s">
        <v>279</v>
      </c>
      <c r="C79" s="102">
        <f>C80+C82+C87+C89</f>
        <v>448104.99299999996</v>
      </c>
      <c r="D79" s="102">
        <f>D80+D81+D82+D87+D89</f>
        <v>1025200.7710000001</v>
      </c>
      <c r="E79" s="103">
        <f>D79-C79</f>
        <v>577095.77800000017</v>
      </c>
      <c r="F79" s="110" t="s">
        <v>326</v>
      </c>
      <c r="G79" s="102"/>
      <c r="H79" s="102">
        <f>H80+H81+H82+H87+H89</f>
        <v>141498.361</v>
      </c>
      <c r="I79" s="103">
        <f>SUM(H79-G79)</f>
        <v>141498.361</v>
      </c>
      <c r="J79" s="150"/>
    </row>
    <row r="80" spans="1:10" s="112" customFormat="1" ht="69.75" customHeight="1">
      <c r="A80" s="115">
        <v>41021000</v>
      </c>
      <c r="B80" s="36" t="s">
        <v>331</v>
      </c>
      <c r="C80" s="114">
        <v>1973.6</v>
      </c>
      <c r="D80" s="114">
        <v>2269.8000000000002</v>
      </c>
      <c r="E80" s="109">
        <f>D80-C80</f>
        <v>296.20000000000027</v>
      </c>
      <c r="F80" s="110">
        <f t="shared" ref="F80:F95" si="8">D80/C80*100</f>
        <v>115.00810701256587</v>
      </c>
      <c r="G80" s="114"/>
      <c r="H80" s="114"/>
      <c r="I80" s="103"/>
      <c r="J80" s="150"/>
    </row>
    <row r="81" spans="1:90" s="112" customFormat="1" ht="69" customHeight="1">
      <c r="A81" s="115">
        <v>41021400</v>
      </c>
      <c r="B81" s="131" t="s">
        <v>329</v>
      </c>
      <c r="C81" s="132"/>
      <c r="D81" s="114">
        <v>532716.19999999995</v>
      </c>
      <c r="E81" s="109">
        <f>D81-C81</f>
        <v>532716.19999999995</v>
      </c>
      <c r="F81" s="110"/>
      <c r="G81" s="114"/>
      <c r="H81" s="114"/>
      <c r="I81" s="103"/>
      <c r="J81" s="150"/>
    </row>
    <row r="82" spans="1:90" s="112" customFormat="1" ht="26.25" customHeight="1">
      <c r="A82" s="107">
        <v>41030000</v>
      </c>
      <c r="B82" s="36" t="s">
        <v>280</v>
      </c>
      <c r="C82" s="108">
        <f>C84+C85+C86</f>
        <v>431976.1</v>
      </c>
      <c r="D82" s="108">
        <f>D84+D85+D86</f>
        <v>479648.00299999997</v>
      </c>
      <c r="E82" s="109">
        <f>D82-C82</f>
        <v>47671.902999999991</v>
      </c>
      <c r="F82" s="110">
        <f t="shared" si="8"/>
        <v>111.03577327541963</v>
      </c>
      <c r="G82" s="108"/>
      <c r="H82" s="108">
        <f>H83+H84+H85+H86</f>
        <v>141498.361</v>
      </c>
      <c r="I82" s="108">
        <f>I83+I84+I85+I86</f>
        <v>141498.361</v>
      </c>
      <c r="J82" s="150"/>
    </row>
    <row r="83" spans="1:90" s="112" customFormat="1" ht="57.75" customHeight="1">
      <c r="A83" s="107">
        <v>41031700</v>
      </c>
      <c r="B83" s="36" t="s">
        <v>386</v>
      </c>
      <c r="C83" s="108"/>
      <c r="D83" s="108"/>
      <c r="E83" s="109"/>
      <c r="F83" s="110"/>
      <c r="G83" s="108"/>
      <c r="H83" s="108">
        <v>141498.361</v>
      </c>
      <c r="I83" s="109">
        <f t="shared" ref="I83:I94" si="9">SUM(H83-G83)</f>
        <v>141498.361</v>
      </c>
      <c r="J83" s="150"/>
    </row>
    <row r="84" spans="1:90" s="112" customFormat="1" ht="45" customHeight="1">
      <c r="A84" s="107">
        <v>41032800</v>
      </c>
      <c r="B84" s="36" t="s">
        <v>374</v>
      </c>
      <c r="C84" s="108"/>
      <c r="D84" s="108">
        <v>9598.4030000000002</v>
      </c>
      <c r="E84" s="109">
        <f>D84-C84</f>
        <v>9598.4030000000002</v>
      </c>
      <c r="F84" s="110"/>
      <c r="G84" s="108"/>
      <c r="H84" s="108"/>
      <c r="I84" s="109"/>
      <c r="J84" s="150"/>
    </row>
    <row r="85" spans="1:90" s="112" customFormat="1" ht="40.5" customHeight="1">
      <c r="A85" s="107">
        <v>41033800</v>
      </c>
      <c r="B85" s="36" t="s">
        <v>375</v>
      </c>
      <c r="C85" s="108"/>
      <c r="D85" s="108">
        <v>1342</v>
      </c>
      <c r="E85" s="109">
        <f>D85-C85</f>
        <v>1342</v>
      </c>
      <c r="F85" s="110"/>
      <c r="G85" s="108"/>
      <c r="H85" s="108"/>
      <c r="I85" s="109"/>
      <c r="J85" s="150"/>
    </row>
    <row r="86" spans="1:90" s="112" customFormat="1" ht="33.200000000000003" customHeight="1">
      <c r="A86" s="107">
        <v>41033900</v>
      </c>
      <c r="B86" s="36" t="s">
        <v>281</v>
      </c>
      <c r="C86" s="114">
        <v>431976.1</v>
      </c>
      <c r="D86" s="114">
        <v>468707.6</v>
      </c>
      <c r="E86" s="109">
        <f>D86-C86</f>
        <v>36731.5</v>
      </c>
      <c r="F86" s="110">
        <f t="shared" si="8"/>
        <v>108.50313246496739</v>
      </c>
      <c r="G86" s="114"/>
      <c r="H86" s="114"/>
      <c r="I86" s="109"/>
      <c r="J86" s="150"/>
    </row>
    <row r="87" spans="1:90" s="136" customFormat="1" ht="43.5" customHeight="1">
      <c r="A87" s="107">
        <v>41040000</v>
      </c>
      <c r="B87" s="131" t="s">
        <v>314</v>
      </c>
      <c r="C87" s="135">
        <f>C88</f>
        <v>1058.655</v>
      </c>
      <c r="D87" s="114">
        <f>D88</f>
        <v>149.71100000000001</v>
      </c>
      <c r="E87" s="109">
        <f>D87-C87</f>
        <v>-908.94399999999996</v>
      </c>
      <c r="F87" s="110">
        <f>D87/C87*100</f>
        <v>14.141623097231868</v>
      </c>
      <c r="G87" s="114"/>
      <c r="H87" s="114"/>
      <c r="I87" s="109"/>
      <c r="J87" s="150"/>
    </row>
    <row r="88" spans="1:90" s="106" customFormat="1" ht="44.25" customHeight="1">
      <c r="A88" s="107">
        <v>41040400</v>
      </c>
      <c r="B88" s="131" t="s">
        <v>313</v>
      </c>
      <c r="C88" s="137">
        <v>1058.655</v>
      </c>
      <c r="D88" s="114">
        <v>149.71100000000001</v>
      </c>
      <c r="E88" s="109">
        <f>D88-C88</f>
        <v>-908.94399999999996</v>
      </c>
      <c r="F88" s="110">
        <f t="shared" si="8"/>
        <v>14.141623097231868</v>
      </c>
      <c r="G88" s="114"/>
      <c r="H88" s="114"/>
      <c r="I88" s="109"/>
      <c r="J88" s="150"/>
    </row>
    <row r="89" spans="1:90" s="112" customFormat="1" ht="20.100000000000001" customHeight="1">
      <c r="A89" s="138">
        <v>41050000</v>
      </c>
      <c r="B89" s="129" t="s">
        <v>282</v>
      </c>
      <c r="C89" s="114">
        <f>C90+C91+C92+C93</f>
        <v>13096.638000000001</v>
      </c>
      <c r="D89" s="114">
        <f>SUM(D90:D93)</f>
        <v>10417.057000000001</v>
      </c>
      <c r="E89" s="109">
        <f t="shared" ref="E89:E95" si="10">D89-C89</f>
        <v>-2679.5810000000001</v>
      </c>
      <c r="F89" s="110">
        <f t="shared" si="8"/>
        <v>79.539932309345346</v>
      </c>
      <c r="G89" s="114"/>
      <c r="H89" s="114"/>
      <c r="I89" s="109"/>
      <c r="J89" s="150"/>
    </row>
    <row r="90" spans="1:90" s="112" customFormat="1" ht="41.25" customHeight="1">
      <c r="A90" s="138">
        <v>41051000</v>
      </c>
      <c r="B90" s="139" t="s">
        <v>283</v>
      </c>
      <c r="C90" s="114">
        <v>7682.1949999999997</v>
      </c>
      <c r="D90" s="114">
        <v>7691.3850000000002</v>
      </c>
      <c r="E90" s="109">
        <f t="shared" si="10"/>
        <v>9.1900000000005093</v>
      </c>
      <c r="F90" s="110">
        <f t="shared" si="8"/>
        <v>100.11962726798787</v>
      </c>
      <c r="G90" s="114"/>
      <c r="H90" s="114"/>
      <c r="I90" s="109"/>
      <c r="J90" s="150"/>
    </row>
    <row r="91" spans="1:90" s="112" customFormat="1" ht="49.5" customHeight="1">
      <c r="A91" s="120" t="s">
        <v>284</v>
      </c>
      <c r="B91" s="59" t="s">
        <v>285</v>
      </c>
      <c r="C91" s="114">
        <v>2064.558</v>
      </c>
      <c r="D91" s="114"/>
      <c r="E91" s="109">
        <f t="shared" si="10"/>
        <v>-2064.558</v>
      </c>
      <c r="F91" s="110"/>
      <c r="G91" s="114"/>
      <c r="H91" s="114"/>
      <c r="I91" s="109"/>
      <c r="J91" s="150"/>
    </row>
    <row r="92" spans="1:90" s="112" customFormat="1" ht="36.75" customHeight="1">
      <c r="A92" s="120" t="s">
        <v>286</v>
      </c>
      <c r="B92" s="140" t="s">
        <v>182</v>
      </c>
      <c r="C92" s="114">
        <v>3320.4029999999998</v>
      </c>
      <c r="D92" s="114">
        <v>2680.627</v>
      </c>
      <c r="E92" s="109">
        <f t="shared" si="10"/>
        <v>-639.77599999999984</v>
      </c>
      <c r="F92" s="110">
        <f t="shared" si="8"/>
        <v>80.731977413585042</v>
      </c>
      <c r="G92" s="114"/>
      <c r="H92" s="114"/>
      <c r="I92" s="109"/>
      <c r="J92" s="150"/>
    </row>
    <row r="93" spans="1:90" s="112" customFormat="1" ht="50.25" customHeight="1">
      <c r="A93" s="120" t="s">
        <v>315</v>
      </c>
      <c r="B93" s="131" t="s">
        <v>330</v>
      </c>
      <c r="C93" s="137">
        <v>29.481999999999999</v>
      </c>
      <c r="D93" s="114">
        <v>45.045000000000002</v>
      </c>
      <c r="E93" s="109">
        <f t="shared" si="10"/>
        <v>15.563000000000002</v>
      </c>
      <c r="F93" s="110">
        <f t="shared" si="8"/>
        <v>152.78814191710197</v>
      </c>
      <c r="G93" s="114"/>
      <c r="H93" s="114"/>
      <c r="I93" s="109"/>
      <c r="J93" s="150"/>
    </row>
    <row r="94" spans="1:90" s="106" customFormat="1" ht="50.25" customHeight="1">
      <c r="A94" s="141" t="s">
        <v>376</v>
      </c>
      <c r="B94" s="142" t="s">
        <v>377</v>
      </c>
      <c r="C94" s="143"/>
      <c r="D94" s="102"/>
      <c r="E94" s="103"/>
      <c r="F94" s="104"/>
      <c r="G94" s="102">
        <v>31.92</v>
      </c>
      <c r="H94" s="102"/>
      <c r="I94" s="109">
        <f t="shared" si="9"/>
        <v>-31.92</v>
      </c>
      <c r="J94" s="105"/>
    </row>
    <row r="95" spans="1:90" s="106" customFormat="1" ht="26.25" customHeight="1">
      <c r="A95" s="144"/>
      <c r="B95" s="101" t="s">
        <v>287</v>
      </c>
      <c r="C95" s="102">
        <f>C78+C79</f>
        <v>3026609.3800000004</v>
      </c>
      <c r="D95" s="102">
        <f>D78+D79</f>
        <v>2827649.9539999999</v>
      </c>
      <c r="E95" s="103">
        <f t="shared" si="10"/>
        <v>-198959.42600000044</v>
      </c>
      <c r="F95" s="104">
        <f t="shared" si="8"/>
        <v>93.426326260840426</v>
      </c>
      <c r="G95" s="102">
        <f>G78+G79+G94</f>
        <v>104422.87899999999</v>
      </c>
      <c r="H95" s="102">
        <f>H7+H46+H76+H79</f>
        <v>276862.19000000006</v>
      </c>
      <c r="I95" s="103">
        <f>H95-G95</f>
        <v>172439.31100000007</v>
      </c>
      <c r="J95" s="105">
        <f>H95/G95*100</f>
        <v>265.13556478365257</v>
      </c>
    </row>
    <row r="96" spans="1:90" ht="22.5">
      <c r="A96" s="184" t="s">
        <v>302</v>
      </c>
      <c r="B96" s="184"/>
      <c r="C96" s="184"/>
      <c r="D96" s="184"/>
      <c r="E96" s="184"/>
      <c r="F96" s="184"/>
      <c r="G96" s="184"/>
      <c r="H96" s="184"/>
      <c r="I96" s="184"/>
      <c r="J96" s="184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</row>
    <row r="97" spans="1:90" ht="20.25">
      <c r="A97" s="60" t="s">
        <v>30</v>
      </c>
      <c r="B97" s="33" t="s">
        <v>4</v>
      </c>
      <c r="C97" s="70">
        <f>SUM(C98:C100)</f>
        <v>166430.01300000001</v>
      </c>
      <c r="D97" s="70">
        <f>SUM(D98:D100)</f>
        <v>201911.647</v>
      </c>
      <c r="E97" s="70">
        <f t="shared" ref="E97:E105" si="11">SUM(D97-C97)</f>
        <v>35481.633999999991</v>
      </c>
      <c r="F97" s="156">
        <f t="shared" ref="F97:F98" si="12">SUM(D97/C97*100)</f>
        <v>121.3192520750449</v>
      </c>
      <c r="G97" s="70">
        <f>SUM(G98:G100)</f>
        <v>10735.897000000001</v>
      </c>
      <c r="H97" s="70">
        <f>SUM(H98:H100)</f>
        <v>7694.2259999999997</v>
      </c>
      <c r="I97" s="70">
        <f>SUM(H97-G97)</f>
        <v>-3041.6710000000012</v>
      </c>
      <c r="J97" s="156">
        <f t="shared" ref="J97:J98" si="13">SUM(H97/G97*100)</f>
        <v>71.668217383233085</v>
      </c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</row>
    <row r="98" spans="1:90">
      <c r="A98" s="29" t="s">
        <v>119</v>
      </c>
      <c r="B98" s="61" t="s">
        <v>5</v>
      </c>
      <c r="C98" s="157">
        <f>166430.013-70.046</f>
        <v>166359.967</v>
      </c>
      <c r="D98" s="157">
        <f>201911.647-793.193-25</f>
        <v>201093.454</v>
      </c>
      <c r="E98" s="73">
        <f t="shared" si="11"/>
        <v>34733.486999999994</v>
      </c>
      <c r="F98" s="151">
        <f t="shared" si="12"/>
        <v>120.8785127974929</v>
      </c>
      <c r="G98" s="157">
        <v>10735.897000000001</v>
      </c>
      <c r="H98" s="157">
        <v>7694.2259999999997</v>
      </c>
      <c r="I98" s="73">
        <f>SUM(H98-G98)</f>
        <v>-3041.6710000000012</v>
      </c>
      <c r="J98" s="151">
        <f t="shared" si="13"/>
        <v>71.668217383233085</v>
      </c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</row>
    <row r="99" spans="1:90">
      <c r="A99" s="29" t="s">
        <v>341</v>
      </c>
      <c r="B99" s="61" t="s">
        <v>342</v>
      </c>
      <c r="C99" s="157"/>
      <c r="D99" s="157">
        <v>25</v>
      </c>
      <c r="E99" s="109">
        <f>D99-C99</f>
        <v>25</v>
      </c>
      <c r="F99" s="151"/>
      <c r="G99" s="157"/>
      <c r="H99" s="157"/>
      <c r="I99" s="73"/>
      <c r="J99" s="151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</row>
    <row r="100" spans="1:90">
      <c r="A100" s="29" t="s">
        <v>189</v>
      </c>
      <c r="B100" s="61" t="s">
        <v>190</v>
      </c>
      <c r="C100" s="157">
        <v>70.046000000000006</v>
      </c>
      <c r="D100" s="157">
        <v>793.19299999999998</v>
      </c>
      <c r="E100" s="73">
        <f t="shared" si="11"/>
        <v>723.14699999999993</v>
      </c>
      <c r="F100" s="151" t="s">
        <v>399</v>
      </c>
      <c r="G100" s="157"/>
      <c r="H100" s="157"/>
      <c r="I100" s="73"/>
      <c r="J100" s="15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</row>
    <row r="101" spans="1:90" ht="20.25">
      <c r="A101" s="60" t="s">
        <v>31</v>
      </c>
      <c r="B101" s="52" t="s">
        <v>6</v>
      </c>
      <c r="C101" s="70">
        <f>C102+C103+C106+C109+C110+C111+C114+C116+C119+C122+C115+C123</f>
        <v>902999.36499999999</v>
      </c>
      <c r="D101" s="70">
        <f>D102+D103+D106+D109+D110+D111+D114+D116+D119+D122+D115+D123+D124</f>
        <v>968564.65299999993</v>
      </c>
      <c r="E101" s="70">
        <f>SUM(D101-C101)</f>
        <v>65565.287999999942</v>
      </c>
      <c r="F101" s="156">
        <f>SUM(D101/C101*100)</f>
        <v>107.26083434178273</v>
      </c>
      <c r="G101" s="70">
        <f>G102+G103+G106+G109+G110+G111+G114+G116+G119+G122+G115</f>
        <v>72145.244000000006</v>
      </c>
      <c r="H101" s="70">
        <f>H102+H103+H106+H109+H110+H111+H114+H116+H119+H122+H115</f>
        <v>77596.667999999991</v>
      </c>
      <c r="I101" s="70">
        <f>SUM(H101-G101)</f>
        <v>5451.4239999999845</v>
      </c>
      <c r="J101" s="159">
        <f>SUM(H101/G101*100)</f>
        <v>107.55617930961601</v>
      </c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</row>
    <row r="102" spans="1:90">
      <c r="A102" s="29" t="s">
        <v>32</v>
      </c>
      <c r="B102" s="61" t="s">
        <v>194</v>
      </c>
      <c r="C102" s="160">
        <v>206632.79699999999</v>
      </c>
      <c r="D102" s="160">
        <v>240208.70800000001</v>
      </c>
      <c r="E102" s="73">
        <f t="shared" si="11"/>
        <v>33575.911000000022</v>
      </c>
      <c r="F102" s="151">
        <f>SUM(D102/C102*100)</f>
        <v>116.24907153533812</v>
      </c>
      <c r="G102" s="152">
        <v>5519.165</v>
      </c>
      <c r="H102" s="161">
        <f>20348.951+561.296</f>
        <v>20910.246999999999</v>
      </c>
      <c r="I102" s="73">
        <f>SUM(H102-G102)</f>
        <v>15391.081999999999</v>
      </c>
      <c r="J102" s="151" t="s">
        <v>406</v>
      </c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</row>
    <row r="103" spans="1:90" s="7" customFormat="1">
      <c r="A103" s="29" t="s">
        <v>33</v>
      </c>
      <c r="B103" s="61" t="s">
        <v>202</v>
      </c>
      <c r="C103" s="152">
        <f>SUM(C104:C105)</f>
        <v>123989.28099999999</v>
      </c>
      <c r="D103" s="152">
        <f>SUM(D104:D105)</f>
        <v>118232.81200000001</v>
      </c>
      <c r="E103" s="73">
        <f t="shared" si="11"/>
        <v>-5756.4689999999828</v>
      </c>
      <c r="F103" s="151">
        <f t="shared" ref="F103:F121" si="14">SUM(D103/C103*100)</f>
        <v>95.357284957560168</v>
      </c>
      <c r="G103" s="152">
        <f>SUM(G104:G105)</f>
        <v>41520.617000000006</v>
      </c>
      <c r="H103" s="152">
        <f>SUM(H104:H105)</f>
        <v>48618.996999999996</v>
      </c>
      <c r="I103" s="73">
        <f>SUM(H103-G103)</f>
        <v>7098.3799999999901</v>
      </c>
      <c r="J103" s="158">
        <f>SUM(H103/G103*100)</f>
        <v>117.09603689174462</v>
      </c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</row>
    <row r="104" spans="1:90" ht="37.5">
      <c r="A104" s="29" t="s">
        <v>288</v>
      </c>
      <c r="B104" s="61" t="s">
        <v>319</v>
      </c>
      <c r="C104" s="160">
        <f>115805.908+2190.193</f>
        <v>117996.101</v>
      </c>
      <c r="D104" s="160">
        <f>114104.232+0.9</f>
        <v>114105.132</v>
      </c>
      <c r="E104" s="73">
        <f t="shared" si="11"/>
        <v>-3890.9689999999973</v>
      </c>
      <c r="F104" s="151">
        <f t="shared" si="14"/>
        <v>96.70245968551113</v>
      </c>
      <c r="G104" s="152">
        <f>40708.858+417.762</f>
        <v>41126.620000000003</v>
      </c>
      <c r="H104" s="152">
        <f>47929.115+502.204</f>
        <v>48431.318999999996</v>
      </c>
      <c r="I104" s="73">
        <f>SUM(H104-G104)</f>
        <v>7304.6989999999932</v>
      </c>
      <c r="J104" s="158">
        <f>SUM(H104/G104*100)</f>
        <v>117.76148635603896</v>
      </c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</row>
    <row r="105" spans="1:90" ht="47.25" customHeight="1">
      <c r="A105" s="29" t="s">
        <v>203</v>
      </c>
      <c r="B105" s="61" t="s">
        <v>320</v>
      </c>
      <c r="C105" s="160">
        <v>5993.18</v>
      </c>
      <c r="D105" s="160">
        <v>4127.68</v>
      </c>
      <c r="E105" s="73">
        <f t="shared" si="11"/>
        <v>-1865.5</v>
      </c>
      <c r="F105" s="151">
        <f t="shared" si="14"/>
        <v>68.872952255730681</v>
      </c>
      <c r="G105" s="152">
        <v>393.99700000000001</v>
      </c>
      <c r="H105" s="161">
        <v>187.678</v>
      </c>
      <c r="I105" s="73">
        <f>SUM(H105-G105)</f>
        <v>-206.31900000000002</v>
      </c>
      <c r="J105" s="158">
        <f>SUM(H105/G105*100)</f>
        <v>47.634372850554698</v>
      </c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</row>
    <row r="106" spans="1:90" s="7" customFormat="1">
      <c r="A106" s="29" t="s">
        <v>34</v>
      </c>
      <c r="B106" s="89" t="s">
        <v>204</v>
      </c>
      <c r="C106" s="152">
        <f>SUM(C107:C108)</f>
        <v>401104.53499999997</v>
      </c>
      <c r="D106" s="152">
        <f>SUM(D107:D108)</f>
        <v>415425.48100000003</v>
      </c>
      <c r="E106" s="73">
        <f>SUM(D106-C106)</f>
        <v>14320.946000000054</v>
      </c>
      <c r="F106" s="151">
        <f t="shared" si="14"/>
        <v>103.5703774827677</v>
      </c>
      <c r="G106" s="162"/>
      <c r="H106" s="162"/>
      <c r="I106" s="163"/>
      <c r="J106" s="158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</row>
    <row r="107" spans="1:90" ht="37.5">
      <c r="A107" s="29" t="s">
        <v>205</v>
      </c>
      <c r="B107" s="61" t="s">
        <v>321</v>
      </c>
      <c r="C107" s="160">
        <v>396856.88299999997</v>
      </c>
      <c r="D107" s="160">
        <v>411003.98700000002</v>
      </c>
      <c r="E107" s="73">
        <f>SUM(D107-C107)</f>
        <v>14147.10400000005</v>
      </c>
      <c r="F107" s="151">
        <f t="shared" si="14"/>
        <v>103.56478735937662</v>
      </c>
      <c r="G107" s="152"/>
      <c r="H107" s="152"/>
      <c r="I107" s="163"/>
      <c r="J107" s="158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</row>
    <row r="108" spans="1:90" ht="37.5">
      <c r="A108" s="29" t="s">
        <v>206</v>
      </c>
      <c r="B108" s="61" t="s">
        <v>322</v>
      </c>
      <c r="C108" s="152">
        <v>4247.652</v>
      </c>
      <c r="D108" s="152">
        <v>4421.4939999999997</v>
      </c>
      <c r="E108" s="73">
        <f>SUM(D108-C108)</f>
        <v>173.84199999999964</v>
      </c>
      <c r="F108" s="151">
        <f t="shared" si="14"/>
        <v>104.09266107487147</v>
      </c>
      <c r="G108" s="152"/>
      <c r="H108" s="152"/>
      <c r="I108" s="163"/>
      <c r="J108" s="158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</row>
    <row r="109" spans="1:90" ht="20.25" customHeight="1">
      <c r="A109" s="29" t="s">
        <v>207</v>
      </c>
      <c r="B109" s="61" t="s">
        <v>208</v>
      </c>
      <c r="C109" s="160">
        <v>18379.994999999999</v>
      </c>
      <c r="D109" s="160">
        <v>22581.557000000001</v>
      </c>
      <c r="E109" s="73">
        <f>SUM(D109-C109)</f>
        <v>4201.5620000000017</v>
      </c>
      <c r="F109" s="151">
        <f t="shared" si="14"/>
        <v>122.85942950474144</v>
      </c>
      <c r="G109" s="152">
        <v>459.166</v>
      </c>
      <c r="H109" s="152">
        <v>6.2889999999999997</v>
      </c>
      <c r="I109" s="73">
        <f>SUM(H109-G109)</f>
        <v>-452.87700000000001</v>
      </c>
      <c r="J109" s="158">
        <f>SUM(H109/G109*100)</f>
        <v>1.369657161026731</v>
      </c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</row>
    <row r="110" spans="1:90">
      <c r="A110" s="30" t="s">
        <v>200</v>
      </c>
      <c r="B110" s="41" t="s">
        <v>195</v>
      </c>
      <c r="C110" s="160">
        <v>33497.555</v>
      </c>
      <c r="D110" s="160">
        <v>39947.680999999997</v>
      </c>
      <c r="E110" s="73">
        <f t="shared" ref="E110" si="15">SUM(D110-C110)</f>
        <v>6450.1259999999966</v>
      </c>
      <c r="F110" s="151">
        <f t="shared" si="14"/>
        <v>119.25551282772726</v>
      </c>
      <c r="G110" s="152">
        <v>1296.973</v>
      </c>
      <c r="H110" s="161">
        <v>1930.5060000000001</v>
      </c>
      <c r="I110" s="73">
        <f>SUM(H110-G110)</f>
        <v>633.53300000000013</v>
      </c>
      <c r="J110" s="158">
        <f>SUM(H110/G110*100)</f>
        <v>148.84704616056001</v>
      </c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</row>
    <row r="111" spans="1:90" s="7" customFormat="1" ht="37.5">
      <c r="A111" s="30" t="s">
        <v>35</v>
      </c>
      <c r="B111" s="50" t="s">
        <v>196</v>
      </c>
      <c r="C111" s="152">
        <f>SUM(C112:C113)</f>
        <v>94280.430999999997</v>
      </c>
      <c r="D111" s="152">
        <f>SUM(D112:D113)</f>
        <v>101575.914</v>
      </c>
      <c r="E111" s="73">
        <f t="shared" ref="E111:E122" si="16">SUM(D111-C111)</f>
        <v>7295.4830000000075</v>
      </c>
      <c r="F111" s="151">
        <f t="shared" si="14"/>
        <v>107.73806708626523</v>
      </c>
      <c r="G111" s="152">
        <f>G112</f>
        <v>15020.028</v>
      </c>
      <c r="H111" s="152">
        <f>H112</f>
        <v>5693.36</v>
      </c>
      <c r="I111" s="73">
        <f>SUM(H111-G111)</f>
        <v>-9326.6680000000015</v>
      </c>
      <c r="J111" s="158">
        <f>SUM(H111/G111*100)</f>
        <v>37.905122413886311</v>
      </c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</row>
    <row r="112" spans="1:90" ht="37.5">
      <c r="A112" s="30" t="s">
        <v>209</v>
      </c>
      <c r="B112" s="50" t="s">
        <v>210</v>
      </c>
      <c r="C112" s="152">
        <v>84924.187999999995</v>
      </c>
      <c r="D112" s="152">
        <v>90997.304000000004</v>
      </c>
      <c r="E112" s="73">
        <f t="shared" si="16"/>
        <v>6073.1160000000091</v>
      </c>
      <c r="F112" s="151">
        <f t="shared" si="14"/>
        <v>107.15122056863235</v>
      </c>
      <c r="G112" s="152">
        <v>15020.028</v>
      </c>
      <c r="H112" s="161">
        <v>5693.36</v>
      </c>
      <c r="I112" s="73">
        <f>SUM(H112-G112)</f>
        <v>-9326.6680000000015</v>
      </c>
      <c r="J112" s="158">
        <f>SUM(H112/G112*100)</f>
        <v>37.905122413886311</v>
      </c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</row>
    <row r="113" spans="1:90" ht="37.5">
      <c r="A113" s="30" t="s">
        <v>211</v>
      </c>
      <c r="B113" s="50" t="s">
        <v>221</v>
      </c>
      <c r="C113" s="152">
        <v>9356.2430000000004</v>
      </c>
      <c r="D113" s="152">
        <v>10578.61</v>
      </c>
      <c r="E113" s="73">
        <f t="shared" si="16"/>
        <v>1222.3670000000002</v>
      </c>
      <c r="F113" s="151">
        <f t="shared" si="14"/>
        <v>113.06472052938344</v>
      </c>
      <c r="G113" s="152"/>
      <c r="H113" s="152"/>
      <c r="I113" s="73"/>
      <c r="J113" s="158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</row>
    <row r="114" spans="1:90">
      <c r="A114" s="29" t="s">
        <v>212</v>
      </c>
      <c r="B114" s="75" t="s">
        <v>307</v>
      </c>
      <c r="C114" s="160">
        <v>2999.422</v>
      </c>
      <c r="D114" s="160">
        <v>2500.0059999999999</v>
      </c>
      <c r="E114" s="73">
        <f t="shared" si="16"/>
        <v>-499.41600000000017</v>
      </c>
      <c r="F114" s="151">
        <f t="shared" si="14"/>
        <v>83.34959202139612</v>
      </c>
      <c r="G114" s="152">
        <v>487.637</v>
      </c>
      <c r="H114" s="161">
        <v>381.39400000000001</v>
      </c>
      <c r="I114" s="73">
        <f>SUM(H114-G114)</f>
        <v>-106.24299999999999</v>
      </c>
      <c r="J114" s="158">
        <f>SUM(H114/G114*100)</f>
        <v>78.212686896195322</v>
      </c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</row>
    <row r="115" spans="1:90">
      <c r="A115" s="29" t="s">
        <v>305</v>
      </c>
      <c r="B115" s="90" t="s">
        <v>306</v>
      </c>
      <c r="C115" s="160">
        <v>168.29</v>
      </c>
      <c r="D115" s="160">
        <v>0</v>
      </c>
      <c r="E115" s="73">
        <f t="shared" si="16"/>
        <v>-168.29</v>
      </c>
      <c r="F115" s="151">
        <f>SUM(D115/C115*100)</f>
        <v>0</v>
      </c>
      <c r="G115" s="152"/>
      <c r="H115" s="161"/>
      <c r="I115" s="73"/>
      <c r="J115" s="158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</row>
    <row r="116" spans="1:90" s="7" customFormat="1">
      <c r="A116" s="30" t="s">
        <v>213</v>
      </c>
      <c r="B116" s="50" t="s">
        <v>179</v>
      </c>
      <c r="C116" s="152">
        <f>C117+C118</f>
        <v>14364.626</v>
      </c>
      <c r="D116" s="152">
        <f>D117+D118</f>
        <v>17655.445</v>
      </c>
      <c r="E116" s="73">
        <f t="shared" si="16"/>
        <v>3290.8189999999995</v>
      </c>
      <c r="F116" s="151">
        <f t="shared" si="14"/>
        <v>122.90918677590352</v>
      </c>
      <c r="G116" s="152">
        <f>G117+G118</f>
        <v>7836.2629999999999</v>
      </c>
      <c r="H116" s="152">
        <f>H117+H118</f>
        <v>55.875</v>
      </c>
      <c r="I116" s="73">
        <f>SUM(H116-G116)</f>
        <v>-7780.3879999999999</v>
      </c>
      <c r="J116" s="158">
        <f>SUM(H116/G116*100)</f>
        <v>0.71303119867212217</v>
      </c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</row>
    <row r="117" spans="1:90">
      <c r="A117" s="30" t="s">
        <v>214</v>
      </c>
      <c r="B117" s="75" t="s">
        <v>120</v>
      </c>
      <c r="C117" s="160">
        <v>14344.716</v>
      </c>
      <c r="D117" s="160">
        <v>17425.855</v>
      </c>
      <c r="E117" s="73">
        <f t="shared" si="16"/>
        <v>3081.1389999999992</v>
      </c>
      <c r="F117" s="151">
        <f t="shared" si="14"/>
        <v>121.47926107425199</v>
      </c>
      <c r="G117" s="152">
        <v>7836.2629999999999</v>
      </c>
      <c r="H117" s="161">
        <v>55.875</v>
      </c>
      <c r="I117" s="73">
        <f>SUM(H117-G117)</f>
        <v>-7780.3879999999999</v>
      </c>
      <c r="J117" s="158">
        <f>SUM(H117/G117*100)</f>
        <v>0.71303119867212217</v>
      </c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</row>
    <row r="118" spans="1:90">
      <c r="A118" s="30" t="s">
        <v>215</v>
      </c>
      <c r="B118" s="75" t="s">
        <v>121</v>
      </c>
      <c r="C118" s="160">
        <v>19.91</v>
      </c>
      <c r="D118" s="160">
        <v>229.59</v>
      </c>
      <c r="E118" s="73">
        <f t="shared" si="16"/>
        <v>209.68</v>
      </c>
      <c r="F118" s="151" t="s">
        <v>400</v>
      </c>
      <c r="G118" s="152"/>
      <c r="H118" s="152"/>
      <c r="I118" s="73"/>
      <c r="J118" s="158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</row>
    <row r="119" spans="1:90" s="7" customFormat="1">
      <c r="A119" s="30" t="s">
        <v>96</v>
      </c>
      <c r="B119" s="50" t="s">
        <v>192</v>
      </c>
      <c r="C119" s="152">
        <f>SUM(C120:C121)</f>
        <v>5909.607</v>
      </c>
      <c r="D119" s="152">
        <f>SUM(D120:D121)</f>
        <v>7039.8689999999997</v>
      </c>
      <c r="E119" s="73">
        <f t="shared" si="16"/>
        <v>1130.2619999999997</v>
      </c>
      <c r="F119" s="151">
        <f t="shared" si="14"/>
        <v>119.12584034775917</v>
      </c>
      <c r="G119" s="152"/>
      <c r="H119" s="152"/>
      <c r="I119" s="73"/>
      <c r="J119" s="158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</row>
    <row r="120" spans="1:90">
      <c r="A120" s="30" t="s">
        <v>216</v>
      </c>
      <c r="B120" s="50" t="s">
        <v>217</v>
      </c>
      <c r="C120" s="160">
        <v>1333.6579999999999</v>
      </c>
      <c r="D120" s="160">
        <v>1357.597</v>
      </c>
      <c r="E120" s="73">
        <f t="shared" si="16"/>
        <v>23.939000000000078</v>
      </c>
      <c r="F120" s="151">
        <f t="shared" si="14"/>
        <v>101.79498792044137</v>
      </c>
      <c r="G120" s="152"/>
      <c r="H120" s="152"/>
      <c r="I120" s="73"/>
      <c r="J120" s="15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</row>
    <row r="121" spans="1:90">
      <c r="A121" s="30" t="s">
        <v>218</v>
      </c>
      <c r="B121" s="50" t="s">
        <v>219</v>
      </c>
      <c r="C121" s="160">
        <v>4575.9489999999996</v>
      </c>
      <c r="D121" s="160">
        <v>5682.2719999999999</v>
      </c>
      <c r="E121" s="73">
        <f t="shared" si="16"/>
        <v>1106.3230000000003</v>
      </c>
      <c r="F121" s="151">
        <f t="shared" si="14"/>
        <v>124.17690844019459</v>
      </c>
      <c r="G121" s="152"/>
      <c r="H121" s="152"/>
      <c r="I121" s="73"/>
      <c r="J121" s="158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</row>
    <row r="122" spans="1:90">
      <c r="A122" s="29" t="s">
        <v>92</v>
      </c>
      <c r="B122" s="75" t="s">
        <v>220</v>
      </c>
      <c r="C122" s="160">
        <v>1380.0809999999999</v>
      </c>
      <c r="D122" s="160">
        <v>2258.1410000000001</v>
      </c>
      <c r="E122" s="73">
        <f t="shared" si="16"/>
        <v>878.06000000000017</v>
      </c>
      <c r="F122" s="151" t="s">
        <v>350</v>
      </c>
      <c r="G122" s="152">
        <v>5.3949999999999996</v>
      </c>
      <c r="H122" s="152">
        <v>0</v>
      </c>
      <c r="I122" s="73">
        <f>SUM(H122-G122)</f>
        <v>-5.3949999999999996</v>
      </c>
      <c r="J122" s="158">
        <f>SUM(H122/G122*100)</f>
        <v>0</v>
      </c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</row>
    <row r="123" spans="1:90" ht="37.5">
      <c r="A123" s="29" t="s">
        <v>346</v>
      </c>
      <c r="B123" s="91" t="s">
        <v>349</v>
      </c>
      <c r="C123" s="164">
        <v>292.745</v>
      </c>
      <c r="D123" s="160"/>
      <c r="E123" s="73">
        <f>SUM(D123-C123)</f>
        <v>-292.745</v>
      </c>
      <c r="F123" s="151">
        <v>0</v>
      </c>
      <c r="G123" s="152"/>
      <c r="H123" s="152"/>
      <c r="I123" s="73"/>
      <c r="J123" s="158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</row>
    <row r="124" spans="1:90" ht="56.25">
      <c r="A124" s="29" t="s">
        <v>347</v>
      </c>
      <c r="B124" s="91" t="s">
        <v>348</v>
      </c>
      <c r="C124" s="160"/>
      <c r="D124" s="73">
        <v>1139.039</v>
      </c>
      <c r="E124" s="73">
        <f>SUM(D124-C124)</f>
        <v>1139.039</v>
      </c>
      <c r="F124" s="152"/>
      <c r="G124" s="152"/>
      <c r="H124" s="152"/>
      <c r="I124" s="73"/>
      <c r="J124" s="15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</row>
    <row r="125" spans="1:90" ht="20.25">
      <c r="A125" s="32" t="s">
        <v>36</v>
      </c>
      <c r="B125" s="52" t="s">
        <v>7</v>
      </c>
      <c r="C125" s="70">
        <f>SUM(C126:C129)+C130+C132</f>
        <v>52936.379000000001</v>
      </c>
      <c r="D125" s="70">
        <f>SUM(D126:D129)+D130+D132</f>
        <v>59165.236000000004</v>
      </c>
      <c r="E125" s="70">
        <f t="shared" ref="E125:E131" si="17">SUM(D125-C125)</f>
        <v>6228.8570000000036</v>
      </c>
      <c r="F125" s="156">
        <f t="shared" ref="F125:F131" si="18">SUM(D125/C125*100)</f>
        <v>111.76668506170398</v>
      </c>
      <c r="G125" s="70">
        <f>SUM(G126:G129)+G130+G132</f>
        <v>7958.0259999999998</v>
      </c>
      <c r="H125" s="70">
        <f>SUM(H126:H129)+H130+H132</f>
        <v>21771.464</v>
      </c>
      <c r="I125" s="70">
        <f t="shared" ref="I125:I127" si="19">SUM(H125-G125)</f>
        <v>13813.438</v>
      </c>
      <c r="J125" s="156" t="s">
        <v>407</v>
      </c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</row>
    <row r="126" spans="1:90">
      <c r="A126" s="29" t="s">
        <v>37</v>
      </c>
      <c r="B126" s="83" t="s">
        <v>38</v>
      </c>
      <c r="C126" s="152">
        <v>34546.71</v>
      </c>
      <c r="D126" s="160">
        <v>42788.521999999997</v>
      </c>
      <c r="E126" s="73">
        <f t="shared" si="17"/>
        <v>8241.8119999999981</v>
      </c>
      <c r="F126" s="151">
        <f t="shared" si="18"/>
        <v>123.85700982814282</v>
      </c>
      <c r="G126" s="152">
        <f>269.078+7643.948</f>
        <v>7913.0259999999998</v>
      </c>
      <c r="H126" s="152">
        <v>20696.057000000001</v>
      </c>
      <c r="I126" s="73">
        <f t="shared" si="19"/>
        <v>12783.031000000001</v>
      </c>
      <c r="J126" s="151" t="s">
        <v>408</v>
      </c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</row>
    <row r="127" spans="1:90">
      <c r="A127" s="29" t="s">
        <v>97</v>
      </c>
      <c r="B127" s="28" t="s">
        <v>122</v>
      </c>
      <c r="C127" s="152">
        <v>6686.9639999999999</v>
      </c>
      <c r="D127" s="160">
        <v>3147.9</v>
      </c>
      <c r="E127" s="73">
        <f t="shared" si="17"/>
        <v>-3539.0639999999999</v>
      </c>
      <c r="F127" s="151">
        <f t="shared" si="18"/>
        <v>47.075174922431167</v>
      </c>
      <c r="G127" s="161">
        <v>45</v>
      </c>
      <c r="H127" s="161">
        <f>880.1+195.307</f>
        <v>1075.4069999999999</v>
      </c>
      <c r="I127" s="73">
        <f t="shared" si="19"/>
        <v>1030.4069999999999</v>
      </c>
      <c r="J127" s="158" t="s">
        <v>409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</row>
    <row r="128" spans="1:90">
      <c r="A128" s="29" t="s">
        <v>98</v>
      </c>
      <c r="B128" s="84" t="s">
        <v>186</v>
      </c>
      <c r="C128" s="152">
        <v>239.352</v>
      </c>
      <c r="D128" s="160">
        <v>225.785</v>
      </c>
      <c r="E128" s="73">
        <f t="shared" si="17"/>
        <v>-13.567000000000007</v>
      </c>
      <c r="F128" s="151">
        <f t="shared" si="18"/>
        <v>94.331779137003238</v>
      </c>
      <c r="G128" s="152"/>
      <c r="H128" s="161"/>
      <c r="I128" s="73"/>
      <c r="J128" s="151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</row>
    <row r="129" spans="1:90">
      <c r="A129" s="29" t="s">
        <v>99</v>
      </c>
      <c r="B129" s="84" t="s">
        <v>123</v>
      </c>
      <c r="C129" s="152">
        <v>237.173</v>
      </c>
      <c r="D129" s="160">
        <v>0</v>
      </c>
      <c r="E129" s="73">
        <f t="shared" si="17"/>
        <v>-237.173</v>
      </c>
      <c r="F129" s="151">
        <f t="shared" si="18"/>
        <v>0</v>
      </c>
      <c r="G129" s="152"/>
      <c r="H129" s="152"/>
      <c r="I129" s="73"/>
      <c r="J129" s="15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</row>
    <row r="130" spans="1:90">
      <c r="A130" s="29" t="s">
        <v>100</v>
      </c>
      <c r="B130" s="84" t="s">
        <v>187</v>
      </c>
      <c r="C130" s="152">
        <f>C131</f>
        <v>10217.808000000001</v>
      </c>
      <c r="D130" s="152">
        <f>D131</f>
        <v>11491.066999999999</v>
      </c>
      <c r="E130" s="73">
        <f t="shared" si="17"/>
        <v>1273.2589999999982</v>
      </c>
      <c r="F130" s="151">
        <f t="shared" si="18"/>
        <v>112.46117562592678</v>
      </c>
      <c r="G130" s="152"/>
      <c r="H130" s="152"/>
      <c r="I130" s="73"/>
      <c r="J130" s="158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</row>
    <row r="131" spans="1:90" ht="37.5">
      <c r="A131" s="29" t="s">
        <v>101</v>
      </c>
      <c r="B131" s="84" t="s">
        <v>124</v>
      </c>
      <c r="C131" s="152">
        <f>10082.75+135.058</f>
        <v>10217.808000000001</v>
      </c>
      <c r="D131" s="152">
        <v>11491.066999999999</v>
      </c>
      <c r="E131" s="73">
        <f t="shared" si="17"/>
        <v>1273.2589999999982</v>
      </c>
      <c r="F131" s="151">
        <f t="shared" si="18"/>
        <v>112.46117562592678</v>
      </c>
      <c r="G131" s="152"/>
      <c r="H131" s="152"/>
      <c r="I131" s="73"/>
      <c r="J131" s="158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</row>
    <row r="132" spans="1:90">
      <c r="A132" s="29" t="s">
        <v>102</v>
      </c>
      <c r="B132" s="84" t="s">
        <v>125</v>
      </c>
      <c r="C132" s="152">
        <f>SUM(C133:C133)</f>
        <v>1008.372</v>
      </c>
      <c r="D132" s="152">
        <f>SUM(D133:D133)</f>
        <v>1511.962</v>
      </c>
      <c r="E132" s="73">
        <f>SUM(D132-C132)</f>
        <v>503.59000000000003</v>
      </c>
      <c r="F132" s="151">
        <f t="shared" ref="F132" si="20">SUM(D132/C132*100)</f>
        <v>149.94089482849583</v>
      </c>
      <c r="G132" s="152"/>
      <c r="H132" s="152"/>
      <c r="I132" s="73"/>
      <c r="J132" s="158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</row>
    <row r="133" spans="1:90">
      <c r="A133" s="29" t="s">
        <v>103</v>
      </c>
      <c r="B133" s="84" t="s">
        <v>126</v>
      </c>
      <c r="C133" s="152">
        <v>1008.372</v>
      </c>
      <c r="D133" s="160">
        <v>1511.962</v>
      </c>
      <c r="E133" s="73">
        <f>SUM(D133-C133)</f>
        <v>503.59000000000003</v>
      </c>
      <c r="F133" s="151">
        <f t="shared" ref="F133" si="21">SUM(D133/C133*100)</f>
        <v>149.94089482849583</v>
      </c>
      <c r="G133" s="152"/>
      <c r="H133" s="152"/>
      <c r="I133" s="73"/>
      <c r="J133" s="158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</row>
    <row r="134" spans="1:90" s="9" customFormat="1" ht="20.25">
      <c r="A134" s="60" t="s">
        <v>39</v>
      </c>
      <c r="B134" s="52" t="s">
        <v>8</v>
      </c>
      <c r="C134" s="70">
        <f>C135+C140+C142+C146+C152+C153+C155+C158+C159+C141+C145+C149+C151</f>
        <v>73058.183000000005</v>
      </c>
      <c r="D134" s="70">
        <f>D135+D140+D142+D146+D152+D153+D155+D158+D159+D141+D145+D149+D151</f>
        <v>81753.513999999996</v>
      </c>
      <c r="E134" s="70">
        <f t="shared" ref="E134:E135" si="22">SUM(D134-C134)</f>
        <v>8695.330999999991</v>
      </c>
      <c r="F134" s="156">
        <f>SUM(D134/C134*100)</f>
        <v>111.90192616753143</v>
      </c>
      <c r="G134" s="70">
        <f>G135+G140+G142+G146+G152+G153+G155+G158+G159+G141+G145+G149+G151</f>
        <v>22277.268</v>
      </c>
      <c r="H134" s="70">
        <f>H135+H140+H142+H146+H152+H153+H155+H158+H159+H141+H145+H149+H151</f>
        <v>8077.7709999999988</v>
      </c>
      <c r="I134" s="70">
        <f t="shared" ref="I134" si="23">SUM(H134-G134)</f>
        <v>-14199.497000000001</v>
      </c>
      <c r="J134" s="156">
        <f t="shared" ref="J134" si="24">SUM(H134/G134*100)</f>
        <v>36.260150930536</v>
      </c>
    </row>
    <row r="135" spans="1:90" s="9" customFormat="1" ht="37.5">
      <c r="A135" s="29" t="s">
        <v>40</v>
      </c>
      <c r="B135" s="145" t="s">
        <v>168</v>
      </c>
      <c r="C135" s="152">
        <f>SUM(C136:C139)</f>
        <v>29122.929999999997</v>
      </c>
      <c r="D135" s="152">
        <f>SUM(D136:D139)</f>
        <v>26398.232</v>
      </c>
      <c r="E135" s="73">
        <f t="shared" si="22"/>
        <v>-2724.6979999999967</v>
      </c>
      <c r="F135" s="151">
        <f t="shared" ref="F135:F138" si="25">SUM(D135/C135*100)</f>
        <v>90.644148785853631</v>
      </c>
      <c r="G135" s="152"/>
      <c r="H135" s="152"/>
      <c r="I135" s="73"/>
      <c r="J135" s="165"/>
    </row>
    <row r="136" spans="1:90" s="9" customFormat="1" ht="20.25" customHeight="1">
      <c r="A136" s="29" t="s">
        <v>41</v>
      </c>
      <c r="B136" s="145" t="s">
        <v>191</v>
      </c>
      <c r="C136" s="152">
        <v>76.656999999999996</v>
      </c>
      <c r="D136" s="160">
        <v>30.576000000000001</v>
      </c>
      <c r="E136" s="73">
        <f t="shared" ref="E136:E161" si="26">SUM(D136-C136)</f>
        <v>-46.080999999999996</v>
      </c>
      <c r="F136" s="151">
        <f t="shared" si="25"/>
        <v>39.886768331659212</v>
      </c>
      <c r="G136" s="152"/>
      <c r="H136" s="152"/>
      <c r="I136" s="73"/>
      <c r="J136" s="165"/>
    </row>
    <row r="137" spans="1:90" s="9" customFormat="1" ht="20.25" customHeight="1">
      <c r="A137" s="29" t="s">
        <v>169</v>
      </c>
      <c r="B137" s="61" t="s">
        <v>43</v>
      </c>
      <c r="C137" s="152">
        <v>657.76700000000005</v>
      </c>
      <c r="D137" s="160">
        <v>0</v>
      </c>
      <c r="E137" s="73">
        <f t="shared" si="26"/>
        <v>-657.76700000000005</v>
      </c>
      <c r="F137" s="151">
        <f t="shared" si="25"/>
        <v>0</v>
      </c>
      <c r="G137" s="152"/>
      <c r="H137" s="152"/>
      <c r="I137" s="73"/>
      <c r="J137" s="158"/>
    </row>
    <row r="138" spans="1:90" s="9" customFormat="1" ht="24.75" customHeight="1">
      <c r="A138" s="29" t="s">
        <v>42</v>
      </c>
      <c r="B138" s="146" t="s">
        <v>12</v>
      </c>
      <c r="C138" s="152">
        <v>28239.886999999999</v>
      </c>
      <c r="D138" s="152">
        <v>26367.655999999999</v>
      </c>
      <c r="E138" s="73">
        <f t="shared" si="26"/>
        <v>-1872.2309999999998</v>
      </c>
      <c r="F138" s="151">
        <f t="shared" si="25"/>
        <v>93.370260298846091</v>
      </c>
      <c r="G138" s="152"/>
      <c r="H138" s="152"/>
      <c r="I138" s="73"/>
      <c r="J138" s="158"/>
    </row>
    <row r="139" spans="1:90" s="9" customFormat="1" ht="23.45" customHeight="1">
      <c r="A139" s="29" t="s">
        <v>44</v>
      </c>
      <c r="B139" s="61" t="s">
        <v>13</v>
      </c>
      <c r="C139" s="152">
        <v>148.619</v>
      </c>
      <c r="D139" s="160">
        <v>0</v>
      </c>
      <c r="E139" s="73">
        <f t="shared" si="26"/>
        <v>-148.619</v>
      </c>
      <c r="F139" s="151">
        <f t="shared" ref="F139:F161" si="27">SUM(D139/C139*100)</f>
        <v>0</v>
      </c>
      <c r="G139" s="152"/>
      <c r="H139" s="152"/>
      <c r="I139" s="73"/>
      <c r="J139" s="158"/>
    </row>
    <row r="140" spans="1:90" s="9" customFormat="1" ht="24" customHeight="1">
      <c r="A140" s="27" t="s">
        <v>45</v>
      </c>
      <c r="B140" s="61" t="s">
        <v>52</v>
      </c>
      <c r="C140" s="152">
        <v>256.61700000000002</v>
      </c>
      <c r="D140" s="160">
        <v>328.94400000000002</v>
      </c>
      <c r="E140" s="73">
        <f t="shared" si="26"/>
        <v>72.326999999999998</v>
      </c>
      <c r="F140" s="151">
        <f t="shared" si="27"/>
        <v>128.18480459205742</v>
      </c>
      <c r="G140" s="152"/>
      <c r="H140" s="152"/>
      <c r="I140" s="73"/>
      <c r="J140" s="158"/>
    </row>
    <row r="141" spans="1:90" s="9" customFormat="1" ht="22.5" customHeight="1">
      <c r="A141" s="29" t="s">
        <v>46</v>
      </c>
      <c r="B141" s="147" t="s">
        <v>170</v>
      </c>
      <c r="C141" s="152">
        <v>111.614</v>
      </c>
      <c r="D141" s="160">
        <v>99.734999999999999</v>
      </c>
      <c r="E141" s="73">
        <f t="shared" si="26"/>
        <v>-11.879000000000005</v>
      </c>
      <c r="F141" s="151">
        <f t="shared" si="27"/>
        <v>89.357069901625238</v>
      </c>
      <c r="G141" s="152"/>
      <c r="H141" s="152"/>
      <c r="I141" s="73"/>
      <c r="J141" s="158"/>
    </row>
    <row r="142" spans="1:90" s="9" customFormat="1" ht="37.5">
      <c r="A142" s="29" t="s">
        <v>47</v>
      </c>
      <c r="B142" s="147" t="s">
        <v>171</v>
      </c>
      <c r="C142" s="152">
        <f>C143+C144</f>
        <v>20302.992000000002</v>
      </c>
      <c r="D142" s="152">
        <f>D143+D144</f>
        <v>23334.156000000003</v>
      </c>
      <c r="E142" s="73">
        <f t="shared" si="26"/>
        <v>3031.1640000000007</v>
      </c>
      <c r="F142" s="151">
        <f t="shared" si="27"/>
        <v>114.92964189711546</v>
      </c>
      <c r="G142" s="152">
        <f>G143+G144</f>
        <v>19785.557000000001</v>
      </c>
      <c r="H142" s="152">
        <f>H143+H144</f>
        <v>5692.2889999999998</v>
      </c>
      <c r="I142" s="73">
        <f>SUM(H142-G142)</f>
        <v>-14093.268</v>
      </c>
      <c r="J142" s="151">
        <f t="shared" ref="J142:J144" si="28">SUM(H142/G142*100)</f>
        <v>28.769920402038718</v>
      </c>
    </row>
    <row r="143" spans="1:90" s="9" customFormat="1" ht="37.5">
      <c r="A143" s="29" t="s">
        <v>48</v>
      </c>
      <c r="B143" s="147" t="s">
        <v>53</v>
      </c>
      <c r="C143" s="152">
        <v>17993.116000000002</v>
      </c>
      <c r="D143" s="152">
        <v>19170.061000000002</v>
      </c>
      <c r="E143" s="73">
        <f t="shared" si="26"/>
        <v>1176.9449999999997</v>
      </c>
      <c r="F143" s="151">
        <f t="shared" si="27"/>
        <v>106.54108493492733</v>
      </c>
      <c r="G143" s="152">
        <v>19465.606</v>
      </c>
      <c r="H143" s="161">
        <v>5673.1329999999998</v>
      </c>
      <c r="I143" s="73">
        <f>SUM(H143-G143)</f>
        <v>-13792.473</v>
      </c>
      <c r="J143" s="151">
        <f t="shared" si="28"/>
        <v>29.144394477110037</v>
      </c>
    </row>
    <row r="144" spans="1:90" s="9" customFormat="1">
      <c r="A144" s="29" t="s">
        <v>49</v>
      </c>
      <c r="B144" s="147" t="s">
        <v>172</v>
      </c>
      <c r="C144" s="152">
        <v>2309.8760000000002</v>
      </c>
      <c r="D144" s="160">
        <v>4164.0950000000003</v>
      </c>
      <c r="E144" s="73">
        <f t="shared" si="26"/>
        <v>1854.2190000000001</v>
      </c>
      <c r="F144" s="151" t="s">
        <v>401</v>
      </c>
      <c r="G144" s="152">
        <v>319.95100000000002</v>
      </c>
      <c r="H144" s="161">
        <v>19.155999999999999</v>
      </c>
      <c r="I144" s="73">
        <f>SUM(H144-G144)</f>
        <v>-300.79500000000002</v>
      </c>
      <c r="J144" s="151">
        <f t="shared" si="28"/>
        <v>5.9871667849139394</v>
      </c>
    </row>
    <row r="145" spans="1:10" s="9" customFormat="1" ht="37.5">
      <c r="A145" s="29" t="s">
        <v>378</v>
      </c>
      <c r="B145" s="148" t="s">
        <v>379</v>
      </c>
      <c r="C145" s="166">
        <v>138.67599999999999</v>
      </c>
      <c r="D145" s="160"/>
      <c r="E145" s="109">
        <f>D145-C145</f>
        <v>-138.67599999999999</v>
      </c>
      <c r="F145" s="151"/>
      <c r="G145" s="152"/>
      <c r="H145" s="161"/>
      <c r="I145" s="73"/>
      <c r="J145" s="151"/>
    </row>
    <row r="146" spans="1:10" s="9" customFormat="1" ht="23.45" customHeight="1">
      <c r="A146" s="29" t="s">
        <v>104</v>
      </c>
      <c r="B146" s="147" t="s">
        <v>54</v>
      </c>
      <c r="C146" s="152">
        <f>SUM(C147:C148)</f>
        <v>1491.0509999999999</v>
      </c>
      <c r="D146" s="152">
        <f>SUM(D147:D148)</f>
        <v>2671.203</v>
      </c>
      <c r="E146" s="73">
        <f t="shared" si="26"/>
        <v>1180.152</v>
      </c>
      <c r="F146" s="151" t="s">
        <v>401</v>
      </c>
      <c r="G146" s="152">
        <f>SUM(G147:G148)</f>
        <v>9</v>
      </c>
      <c r="H146" s="152">
        <f>SUM(H147:H148)</f>
        <v>197.565</v>
      </c>
      <c r="I146" s="73">
        <f>SUM(H146-G146)</f>
        <v>188.565</v>
      </c>
      <c r="J146" s="165" t="s">
        <v>410</v>
      </c>
    </row>
    <row r="147" spans="1:10" s="9" customFormat="1">
      <c r="A147" s="29" t="s">
        <v>105</v>
      </c>
      <c r="B147" s="147" t="s">
        <v>201</v>
      </c>
      <c r="C147" s="152">
        <v>1157.57</v>
      </c>
      <c r="D147" s="160">
        <v>1751.713</v>
      </c>
      <c r="E147" s="73">
        <f t="shared" si="26"/>
        <v>594.14300000000003</v>
      </c>
      <c r="F147" s="151">
        <f t="shared" si="27"/>
        <v>151.32674481888785</v>
      </c>
      <c r="G147" s="152">
        <v>9</v>
      </c>
      <c r="H147" s="161">
        <v>0</v>
      </c>
      <c r="I147" s="73">
        <f>SUM(H147-G147)</f>
        <v>-9</v>
      </c>
      <c r="J147" s="151">
        <f t="shared" ref="J147" si="29">SUM(H147/G147*100)</f>
        <v>0</v>
      </c>
    </row>
    <row r="148" spans="1:10" s="9" customFormat="1" ht="45.2" customHeight="1">
      <c r="A148" s="29" t="s">
        <v>293</v>
      </c>
      <c r="B148" s="147" t="s">
        <v>294</v>
      </c>
      <c r="C148" s="152">
        <v>333.48099999999999</v>
      </c>
      <c r="D148" s="152">
        <v>919.49</v>
      </c>
      <c r="E148" s="73">
        <f t="shared" si="26"/>
        <v>586.00900000000001</v>
      </c>
      <c r="F148" s="151" t="s">
        <v>402</v>
      </c>
      <c r="G148" s="152"/>
      <c r="H148" s="161">
        <v>197.565</v>
      </c>
      <c r="I148" s="109">
        <f>H148-G148</f>
        <v>197.565</v>
      </c>
      <c r="J148" s="158"/>
    </row>
    <row r="149" spans="1:10" s="9" customFormat="1" ht="45.2" customHeight="1">
      <c r="A149" s="29" t="s">
        <v>380</v>
      </c>
      <c r="B149" s="149" t="s">
        <v>383</v>
      </c>
      <c r="C149" s="152"/>
      <c r="D149" s="152">
        <v>12.772</v>
      </c>
      <c r="E149" s="73">
        <f t="shared" ref="E149:E151" si="30">SUM(D149-C149)</f>
        <v>12.772</v>
      </c>
      <c r="F149" s="151"/>
      <c r="G149" s="152"/>
      <c r="H149" s="161"/>
      <c r="I149" s="73"/>
      <c r="J149" s="158"/>
    </row>
    <row r="150" spans="1:10" s="9" customFormat="1" ht="45.2" customHeight="1">
      <c r="A150" s="29" t="s">
        <v>381</v>
      </c>
      <c r="B150" s="149" t="s">
        <v>384</v>
      </c>
      <c r="C150" s="152"/>
      <c r="D150" s="152">
        <v>12.772</v>
      </c>
      <c r="E150" s="73">
        <f t="shared" si="30"/>
        <v>12.772</v>
      </c>
      <c r="F150" s="151"/>
      <c r="G150" s="152"/>
      <c r="H150" s="161"/>
      <c r="I150" s="73"/>
      <c r="J150" s="158"/>
    </row>
    <row r="151" spans="1:10" s="9" customFormat="1" ht="56.25" customHeight="1">
      <c r="A151" s="29" t="s">
        <v>382</v>
      </c>
      <c r="B151" s="148" t="s">
        <v>385</v>
      </c>
      <c r="C151" s="152"/>
      <c r="D151" s="152">
        <v>790.65</v>
      </c>
      <c r="E151" s="73">
        <f t="shared" si="30"/>
        <v>790.65</v>
      </c>
      <c r="F151" s="151"/>
      <c r="G151" s="152"/>
      <c r="H151" s="161"/>
      <c r="I151" s="73"/>
      <c r="J151" s="158"/>
    </row>
    <row r="152" spans="1:10" s="9" customFormat="1" ht="56.25">
      <c r="A152" s="27" t="s">
        <v>91</v>
      </c>
      <c r="B152" s="75" t="s">
        <v>173</v>
      </c>
      <c r="C152" s="152">
        <v>4025.0549999999998</v>
      </c>
      <c r="D152" s="152">
        <v>6268.2650000000003</v>
      </c>
      <c r="E152" s="73">
        <f t="shared" si="26"/>
        <v>2243.2100000000005</v>
      </c>
      <c r="F152" s="151">
        <f t="shared" si="27"/>
        <v>155.73116392198369</v>
      </c>
      <c r="G152" s="152"/>
      <c r="H152" s="152"/>
      <c r="I152" s="73"/>
      <c r="J152" s="158"/>
    </row>
    <row r="153" spans="1:10" s="9" customFormat="1">
      <c r="A153" s="40" t="s">
        <v>106</v>
      </c>
      <c r="B153" s="147" t="s">
        <v>174</v>
      </c>
      <c r="C153" s="152">
        <f>C154</f>
        <v>123.04600000000001</v>
      </c>
      <c r="D153" s="152">
        <f>D154</f>
        <v>127.361</v>
      </c>
      <c r="E153" s="73">
        <f t="shared" si="26"/>
        <v>4.3149999999999977</v>
      </c>
      <c r="F153" s="151">
        <f t="shared" si="27"/>
        <v>103.50681858817028</v>
      </c>
      <c r="G153" s="152"/>
      <c r="H153" s="152"/>
      <c r="I153" s="73"/>
      <c r="J153" s="158"/>
    </row>
    <row r="154" spans="1:10" s="9" customFormat="1" ht="37.5">
      <c r="A154" s="40" t="s">
        <v>107</v>
      </c>
      <c r="B154" s="147" t="s">
        <v>184</v>
      </c>
      <c r="C154" s="152">
        <v>123.04600000000001</v>
      </c>
      <c r="D154" s="152">
        <v>127.361</v>
      </c>
      <c r="E154" s="73">
        <f t="shared" si="26"/>
        <v>4.3149999999999977</v>
      </c>
      <c r="F154" s="151">
        <f t="shared" si="27"/>
        <v>103.50681858817028</v>
      </c>
      <c r="G154" s="152"/>
      <c r="H154" s="152"/>
      <c r="I154" s="73"/>
      <c r="J154" s="158"/>
    </row>
    <row r="155" spans="1:10" s="9" customFormat="1" ht="26.25" customHeight="1">
      <c r="A155" s="40" t="s">
        <v>50</v>
      </c>
      <c r="B155" s="147" t="s">
        <v>55</v>
      </c>
      <c r="C155" s="152">
        <f>C156+C157</f>
        <v>6883.56</v>
      </c>
      <c r="D155" s="152">
        <f>D156+D157</f>
        <v>9514.6309999999994</v>
      </c>
      <c r="E155" s="73">
        <f t="shared" si="26"/>
        <v>2631.070999999999</v>
      </c>
      <c r="F155" s="151">
        <f t="shared" si="27"/>
        <v>138.22253310786857</v>
      </c>
      <c r="G155" s="152"/>
      <c r="H155" s="152"/>
      <c r="I155" s="167"/>
      <c r="J155" s="158"/>
    </row>
    <row r="156" spans="1:10" s="9" customFormat="1" ht="30" customHeight="1">
      <c r="A156" s="27" t="s">
        <v>108</v>
      </c>
      <c r="B156" s="147" t="s">
        <v>318</v>
      </c>
      <c r="C156" s="152">
        <v>6279.0370000000003</v>
      </c>
      <c r="D156" s="152">
        <f>667.413+8118.231</f>
        <v>8785.6440000000002</v>
      </c>
      <c r="E156" s="73">
        <f t="shared" si="26"/>
        <v>2506.607</v>
      </c>
      <c r="F156" s="151">
        <f t="shared" si="27"/>
        <v>139.92024573194902</v>
      </c>
      <c r="G156" s="152"/>
      <c r="H156" s="152"/>
      <c r="I156" s="73"/>
      <c r="J156" s="158"/>
    </row>
    <row r="157" spans="1:10" s="9" customFormat="1" ht="37.5">
      <c r="A157" s="27" t="s">
        <v>109</v>
      </c>
      <c r="B157" s="75" t="s">
        <v>317</v>
      </c>
      <c r="C157" s="152">
        <v>604.52300000000002</v>
      </c>
      <c r="D157" s="152">
        <v>728.98699999999997</v>
      </c>
      <c r="E157" s="73">
        <f t="shared" si="26"/>
        <v>124.46399999999994</v>
      </c>
      <c r="F157" s="151">
        <f t="shared" si="27"/>
        <v>120.58879480185203</v>
      </c>
      <c r="G157" s="152"/>
      <c r="H157" s="152"/>
      <c r="I157" s="73"/>
      <c r="J157" s="158"/>
    </row>
    <row r="158" spans="1:10" s="9" customFormat="1" ht="27.2" customHeight="1">
      <c r="A158" s="27" t="s">
        <v>110</v>
      </c>
      <c r="B158" s="75" t="s">
        <v>197</v>
      </c>
      <c r="C158" s="152"/>
      <c r="D158" s="152"/>
      <c r="E158" s="73"/>
      <c r="F158" s="151"/>
      <c r="G158" s="152">
        <f>675.707+39.575+99.852+211.597+111.912</f>
        <v>1138.643</v>
      </c>
      <c r="H158" s="152">
        <f>218.181+194.57+390.541+241.375</f>
        <v>1044.6669999999999</v>
      </c>
      <c r="I158" s="73">
        <f t="shared" ref="I158:I160" si="31">SUM(H158-G158)</f>
        <v>-93.976000000000113</v>
      </c>
      <c r="J158" s="151">
        <f t="shared" ref="J158:J160" si="32">SUM(H158/G158*100)</f>
        <v>91.746666865734028</v>
      </c>
    </row>
    <row r="159" spans="1:10" s="9" customFormat="1" ht="22.5" customHeight="1">
      <c r="A159" s="27" t="s">
        <v>51</v>
      </c>
      <c r="B159" s="61" t="s">
        <v>176</v>
      </c>
      <c r="C159" s="152">
        <f>C160+C161</f>
        <v>10602.642</v>
      </c>
      <c r="D159" s="152">
        <f>D160+D161</f>
        <v>12207.565000000001</v>
      </c>
      <c r="E159" s="73">
        <f t="shared" si="26"/>
        <v>1604.9230000000007</v>
      </c>
      <c r="F159" s="151">
        <f t="shared" si="27"/>
        <v>115.13701019047895</v>
      </c>
      <c r="G159" s="152">
        <f>G160+G161</f>
        <v>1344.068</v>
      </c>
      <c r="H159" s="152">
        <f>H160+H161</f>
        <v>1143.25</v>
      </c>
      <c r="I159" s="73">
        <f t="shared" si="31"/>
        <v>-200.81799999999998</v>
      </c>
      <c r="J159" s="151">
        <f t="shared" si="32"/>
        <v>85.058940470273825</v>
      </c>
    </row>
    <row r="160" spans="1:10" s="9" customFormat="1" ht="22.5" customHeight="1">
      <c r="A160" s="27" t="s">
        <v>111</v>
      </c>
      <c r="B160" s="61" t="s">
        <v>177</v>
      </c>
      <c r="C160" s="152">
        <f>1535.959+5431.935</f>
        <v>6967.8940000000002</v>
      </c>
      <c r="D160" s="160">
        <f>2128.404+6134.303</f>
        <v>8262.7070000000003</v>
      </c>
      <c r="E160" s="73">
        <f t="shared" si="26"/>
        <v>1294.8130000000001</v>
      </c>
      <c r="F160" s="151">
        <f t="shared" si="27"/>
        <v>118.58255880471202</v>
      </c>
      <c r="G160" s="152">
        <v>1344.068</v>
      </c>
      <c r="H160" s="161">
        <v>1143.25</v>
      </c>
      <c r="I160" s="73">
        <f t="shared" si="31"/>
        <v>-200.81799999999998</v>
      </c>
      <c r="J160" s="151">
        <f t="shared" si="32"/>
        <v>85.058940470273825</v>
      </c>
    </row>
    <row r="161" spans="1:10" s="9" customFormat="1" ht="22.5" customHeight="1">
      <c r="A161" s="27" t="s">
        <v>112</v>
      </c>
      <c r="B161" s="61" t="s">
        <v>178</v>
      </c>
      <c r="C161" s="152">
        <v>3634.748</v>
      </c>
      <c r="D161" s="160">
        <v>3944.8580000000002</v>
      </c>
      <c r="E161" s="73">
        <f t="shared" si="26"/>
        <v>310.11000000000013</v>
      </c>
      <c r="F161" s="151">
        <f t="shared" si="27"/>
        <v>108.53181568570915</v>
      </c>
      <c r="G161" s="152"/>
      <c r="H161" s="152"/>
      <c r="I161" s="73"/>
      <c r="J161" s="165"/>
    </row>
    <row r="162" spans="1:10" s="9" customFormat="1" ht="20.25">
      <c r="A162" s="32" t="s">
        <v>58</v>
      </c>
      <c r="B162" s="52" t="s">
        <v>10</v>
      </c>
      <c r="C162" s="70">
        <f>SUM(C163:C165)</f>
        <v>68591.259000000005</v>
      </c>
      <c r="D162" s="70">
        <f>SUM(D163:D165)</f>
        <v>62301.425000000003</v>
      </c>
      <c r="E162" s="70">
        <f t="shared" ref="E162:E167" si="33">SUM(D162-C162)</f>
        <v>-6289.8340000000026</v>
      </c>
      <c r="F162" s="156">
        <f t="shared" ref="F162:F167" si="34">SUM(D162/C162*100)</f>
        <v>90.829977329910221</v>
      </c>
      <c r="G162" s="70">
        <f>SUM(G163:G165)</f>
        <v>875.57</v>
      </c>
      <c r="H162" s="70">
        <f>SUM(H163:H165)</f>
        <v>1128.5840000000001</v>
      </c>
      <c r="I162" s="70">
        <f t="shared" ref="I162:I164" si="35">SUM(H162-G162)</f>
        <v>253.01400000000001</v>
      </c>
      <c r="J162" s="156">
        <f t="shared" ref="J162:J166" si="36">SUM(H162/G162*100)</f>
        <v>128.89706134289662</v>
      </c>
    </row>
    <row r="163" spans="1:10" s="9" customFormat="1">
      <c r="A163" s="29" t="s">
        <v>113</v>
      </c>
      <c r="B163" s="28" t="s">
        <v>127</v>
      </c>
      <c r="C163" s="152">
        <v>20020.096000000001</v>
      </c>
      <c r="D163" s="160">
        <v>20331.651000000002</v>
      </c>
      <c r="E163" s="73">
        <f t="shared" si="33"/>
        <v>311.55500000000029</v>
      </c>
      <c r="F163" s="151">
        <f t="shared" si="34"/>
        <v>101.5562113188668</v>
      </c>
      <c r="G163" s="73">
        <v>481.096</v>
      </c>
      <c r="H163" s="73">
        <v>824.27099999999996</v>
      </c>
      <c r="I163" s="73">
        <f t="shared" si="35"/>
        <v>343.17499999999995</v>
      </c>
      <c r="J163" s="151" t="s">
        <v>411</v>
      </c>
    </row>
    <row r="164" spans="1:10" s="9" customFormat="1" ht="20.25" customHeight="1">
      <c r="A164" s="29" t="s">
        <v>59</v>
      </c>
      <c r="B164" s="61" t="s">
        <v>181</v>
      </c>
      <c r="C164" s="152">
        <v>14012.852000000001</v>
      </c>
      <c r="D164" s="160">
        <v>15900.276</v>
      </c>
      <c r="E164" s="73">
        <f t="shared" si="33"/>
        <v>1887.4239999999991</v>
      </c>
      <c r="F164" s="151">
        <f t="shared" si="34"/>
        <v>113.4692352420478</v>
      </c>
      <c r="G164" s="161">
        <v>189.90199999999999</v>
      </c>
      <c r="H164" s="161">
        <v>188.40100000000001</v>
      </c>
      <c r="I164" s="73">
        <f t="shared" si="35"/>
        <v>-1.5009999999999764</v>
      </c>
      <c r="J164" s="151">
        <f t="shared" si="36"/>
        <v>99.209592316036705</v>
      </c>
    </row>
    <row r="165" spans="1:10" s="9" customFormat="1" ht="20.25" customHeight="1">
      <c r="A165" s="29" t="s">
        <v>114</v>
      </c>
      <c r="B165" s="28" t="s">
        <v>128</v>
      </c>
      <c r="C165" s="152">
        <f>SUM(C166:C167)</f>
        <v>34558.311000000002</v>
      </c>
      <c r="D165" s="152">
        <f>SUM(D166:D167)</f>
        <v>26069.498</v>
      </c>
      <c r="E165" s="73">
        <f t="shared" si="33"/>
        <v>-8488.8130000000019</v>
      </c>
      <c r="F165" s="151">
        <f t="shared" si="34"/>
        <v>75.436261916851194</v>
      </c>
      <c r="G165" s="152">
        <f>SUM(G166:G167)</f>
        <v>204.572</v>
      </c>
      <c r="H165" s="152">
        <f>SUM(H166:H167)</f>
        <v>115.91200000000001</v>
      </c>
      <c r="I165" s="73">
        <f t="shared" ref="I165:I166" si="37">SUM(H165-G165)</f>
        <v>-88.66</v>
      </c>
      <c r="J165" s="151">
        <f t="shared" si="36"/>
        <v>56.660735584537477</v>
      </c>
    </row>
    <row r="166" spans="1:10" s="9" customFormat="1" ht="20.25" customHeight="1">
      <c r="A166" s="29" t="s">
        <v>115</v>
      </c>
      <c r="B166" s="28" t="s">
        <v>129</v>
      </c>
      <c r="C166" s="152">
        <v>34304.911</v>
      </c>
      <c r="D166" s="160">
        <v>25694.157999999999</v>
      </c>
      <c r="E166" s="73">
        <f t="shared" si="33"/>
        <v>-8610.7530000000006</v>
      </c>
      <c r="F166" s="151">
        <f t="shared" si="34"/>
        <v>74.899357704207432</v>
      </c>
      <c r="G166" s="161">
        <v>204.572</v>
      </c>
      <c r="H166" s="161">
        <v>115.91200000000001</v>
      </c>
      <c r="I166" s="73">
        <f t="shared" si="37"/>
        <v>-88.66</v>
      </c>
      <c r="J166" s="151">
        <f t="shared" si="36"/>
        <v>56.660735584537477</v>
      </c>
    </row>
    <row r="167" spans="1:10" s="9" customFormat="1" ht="20.25" customHeight="1">
      <c r="A167" s="29" t="s">
        <v>116</v>
      </c>
      <c r="B167" s="28" t="s">
        <v>130</v>
      </c>
      <c r="C167" s="152">
        <v>253.4</v>
      </c>
      <c r="D167" s="160">
        <v>375.34</v>
      </c>
      <c r="E167" s="73">
        <f t="shared" si="33"/>
        <v>121.93999999999997</v>
      </c>
      <c r="F167" s="151">
        <f t="shared" si="34"/>
        <v>148.12154696132595</v>
      </c>
      <c r="G167" s="152"/>
      <c r="H167" s="152"/>
      <c r="I167" s="73"/>
      <c r="J167" s="158"/>
    </row>
    <row r="168" spans="1:10" s="9" customFormat="1" ht="20.25">
      <c r="A168" s="32" t="s">
        <v>60</v>
      </c>
      <c r="B168" s="33" t="s">
        <v>11</v>
      </c>
      <c r="C168" s="70">
        <f>SUM(C169+C172+C176+C179)</f>
        <v>65860.407999999996</v>
      </c>
      <c r="D168" s="70">
        <f>SUM(D169+D172+D176+D179)</f>
        <v>82086.494000000006</v>
      </c>
      <c r="E168" s="70">
        <f t="shared" ref="E168:E181" si="38">SUM(D168-C168)</f>
        <v>16226.08600000001</v>
      </c>
      <c r="F168" s="156">
        <f t="shared" ref="F168:F181" si="39">SUM(D168/C168*100)</f>
        <v>124.63708697340594</v>
      </c>
      <c r="G168" s="70">
        <f>SUM(G169+G172+G176+G179)</f>
        <v>5985.5339999999997</v>
      </c>
      <c r="H168" s="70">
        <f>SUM(H169+H172+H176+H179)</f>
        <v>2578.5450000000001</v>
      </c>
      <c r="I168" s="70">
        <f t="shared" ref="I168" si="40">SUM(H168-G168)</f>
        <v>-3406.9889999999996</v>
      </c>
      <c r="J168" s="168">
        <f>SUM(H168/G168*100)</f>
        <v>43.079614951648423</v>
      </c>
    </row>
    <row r="169" spans="1:10" s="9" customFormat="1">
      <c r="A169" s="27" t="s">
        <v>62</v>
      </c>
      <c r="B169" s="28" t="s">
        <v>61</v>
      </c>
      <c r="C169" s="73">
        <f>C170+C171</f>
        <v>757.45800000000008</v>
      </c>
      <c r="D169" s="73">
        <f>D170+D171</f>
        <v>749.86900000000003</v>
      </c>
      <c r="E169" s="73">
        <f t="shared" si="38"/>
        <v>-7.5890000000000555</v>
      </c>
      <c r="F169" s="151">
        <f>SUM(D169/C169*100)</f>
        <v>98.998096264083273</v>
      </c>
      <c r="G169" s="73"/>
      <c r="H169" s="73"/>
      <c r="I169" s="73"/>
      <c r="J169" s="158"/>
    </row>
    <row r="170" spans="1:10" s="9" customFormat="1">
      <c r="A170" s="29" t="s">
        <v>63</v>
      </c>
      <c r="B170" s="28" t="s">
        <v>74</v>
      </c>
      <c r="C170" s="152">
        <v>629.83900000000006</v>
      </c>
      <c r="D170" s="160">
        <v>683.55799999999999</v>
      </c>
      <c r="E170" s="73">
        <f t="shared" si="38"/>
        <v>53.718999999999937</v>
      </c>
      <c r="F170" s="151">
        <f>SUM(D170/C170*100)</f>
        <v>108.52900503144454</v>
      </c>
      <c r="G170" s="152"/>
      <c r="H170" s="152"/>
      <c r="I170" s="73"/>
      <c r="J170" s="158"/>
    </row>
    <row r="171" spans="1:10" s="9" customFormat="1">
      <c r="A171" s="29" t="s">
        <v>64</v>
      </c>
      <c r="B171" s="28" t="s">
        <v>75</v>
      </c>
      <c r="C171" s="152">
        <v>127.619</v>
      </c>
      <c r="D171" s="160">
        <v>66.311000000000007</v>
      </c>
      <c r="E171" s="73">
        <f t="shared" si="38"/>
        <v>-61.307999999999993</v>
      </c>
      <c r="F171" s="151">
        <f>SUM(D171/C171*100)</f>
        <v>51.960131328407222</v>
      </c>
      <c r="G171" s="152"/>
      <c r="H171" s="152"/>
      <c r="I171" s="73"/>
      <c r="J171" s="158"/>
    </row>
    <row r="172" spans="1:10" s="9" customFormat="1">
      <c r="A172" s="30" t="s">
        <v>65</v>
      </c>
      <c r="B172" s="31" t="s">
        <v>76</v>
      </c>
      <c r="C172" s="152">
        <f>C173+C174+C175</f>
        <v>51675.214</v>
      </c>
      <c r="D172" s="152">
        <f>D173+D174+D175</f>
        <v>64450.817000000003</v>
      </c>
      <c r="E172" s="73">
        <f t="shared" si="38"/>
        <v>12775.603000000003</v>
      </c>
      <c r="F172" s="151">
        <f t="shared" si="39"/>
        <v>124.72288358592962</v>
      </c>
      <c r="G172" s="152">
        <f>G173+G174+G175</f>
        <v>728.923</v>
      </c>
      <c r="H172" s="152">
        <f>H173+H174+H175</f>
        <v>1169.1689999999999</v>
      </c>
      <c r="I172" s="73">
        <f t="shared" ref="I172:I175" si="41">SUM(H172-G172)</f>
        <v>440.24599999999987</v>
      </c>
      <c r="J172" s="151" t="s">
        <v>412</v>
      </c>
    </row>
    <row r="173" spans="1:10" s="9" customFormat="1">
      <c r="A173" s="30" t="s">
        <v>66</v>
      </c>
      <c r="B173" s="31" t="s">
        <v>77</v>
      </c>
      <c r="C173" s="152">
        <v>44986.347000000002</v>
      </c>
      <c r="D173" s="160">
        <v>58905.62</v>
      </c>
      <c r="E173" s="73">
        <f t="shared" si="38"/>
        <v>13919.273000000001</v>
      </c>
      <c r="F173" s="151">
        <f t="shared" si="39"/>
        <v>130.94110530912857</v>
      </c>
      <c r="G173" s="152">
        <v>674.05799999999999</v>
      </c>
      <c r="H173" s="161">
        <v>771.53399999999999</v>
      </c>
      <c r="I173" s="73">
        <f t="shared" si="41"/>
        <v>97.475999999999999</v>
      </c>
      <c r="J173" s="151">
        <f t="shared" ref="J173" si="42">SUM(H173/G173*100)</f>
        <v>114.46107011562803</v>
      </c>
    </row>
    <row r="174" spans="1:10" s="9" customFormat="1" ht="17.25" customHeight="1">
      <c r="A174" s="30" t="s">
        <v>67</v>
      </c>
      <c r="B174" s="31" t="s">
        <v>78</v>
      </c>
      <c r="C174" s="152">
        <v>1079.704</v>
      </c>
      <c r="D174" s="160">
        <v>0</v>
      </c>
      <c r="E174" s="73">
        <f t="shared" si="38"/>
        <v>-1079.704</v>
      </c>
      <c r="F174" s="151">
        <f t="shared" si="39"/>
        <v>0</v>
      </c>
      <c r="G174" s="152"/>
      <c r="H174" s="152"/>
      <c r="I174" s="73"/>
      <c r="J174" s="158"/>
    </row>
    <row r="175" spans="1:10" s="9" customFormat="1">
      <c r="A175" s="30" t="s">
        <v>68</v>
      </c>
      <c r="B175" s="31" t="s">
        <v>79</v>
      </c>
      <c r="C175" s="152">
        <v>5609.1629999999996</v>
      </c>
      <c r="D175" s="160">
        <v>5545.1970000000001</v>
      </c>
      <c r="E175" s="73">
        <f t="shared" si="38"/>
        <v>-63.96599999999944</v>
      </c>
      <c r="F175" s="151">
        <f t="shared" si="39"/>
        <v>98.859615953396258</v>
      </c>
      <c r="G175" s="169">
        <v>54.865000000000002</v>
      </c>
      <c r="H175" s="161">
        <v>397.63499999999999</v>
      </c>
      <c r="I175" s="73">
        <f t="shared" si="41"/>
        <v>342.77</v>
      </c>
      <c r="J175" s="151" t="s">
        <v>413</v>
      </c>
    </row>
    <row r="176" spans="1:10" s="9" customFormat="1" ht="17.45" customHeight="1">
      <c r="A176" s="30" t="s">
        <v>69</v>
      </c>
      <c r="B176" s="31" t="s">
        <v>80</v>
      </c>
      <c r="C176" s="161">
        <f>C177+C178</f>
        <v>8177.8770000000004</v>
      </c>
      <c r="D176" s="161">
        <f>D177+D178</f>
        <v>10897.232</v>
      </c>
      <c r="E176" s="73">
        <f t="shared" si="38"/>
        <v>2719.3549999999996</v>
      </c>
      <c r="F176" s="151">
        <f t="shared" si="39"/>
        <v>133.25257887835679</v>
      </c>
      <c r="G176" s="73">
        <f>G177</f>
        <v>5251.65</v>
      </c>
      <c r="H176" s="161">
        <f t="shared" ref="H176" si="43">H177+H178</f>
        <v>1326.384</v>
      </c>
      <c r="I176" s="73">
        <f t="shared" ref="I176" si="44">SUM(H176-G176)</f>
        <v>-3925.2659999999996</v>
      </c>
      <c r="J176" s="151">
        <f>SUM(H176/G176*100)</f>
        <v>25.256519379623548</v>
      </c>
    </row>
    <row r="177" spans="1:10" s="9" customFormat="1">
      <c r="A177" s="30" t="s">
        <v>70</v>
      </c>
      <c r="B177" s="31" t="s">
        <v>81</v>
      </c>
      <c r="C177" s="152">
        <v>8158.259</v>
      </c>
      <c r="D177" s="160">
        <v>10876.442999999999</v>
      </c>
      <c r="E177" s="73">
        <f t="shared" si="38"/>
        <v>2718.1839999999993</v>
      </c>
      <c r="F177" s="151">
        <f t="shared" si="39"/>
        <v>133.31818712791539</v>
      </c>
      <c r="G177" s="169">
        <f>89.276+5162.374</f>
        <v>5251.65</v>
      </c>
      <c r="H177" s="161">
        <f>1307.91+18.474</f>
        <v>1326.384</v>
      </c>
      <c r="I177" s="73">
        <f t="shared" ref="I177" si="45">SUM(H177-G177)</f>
        <v>-3925.2659999999996</v>
      </c>
      <c r="J177" s="151">
        <f>SUM(H177/G177*100)</f>
        <v>25.256519379623548</v>
      </c>
    </row>
    <row r="178" spans="1:10" s="9" customFormat="1" ht="37.5">
      <c r="A178" s="30" t="s">
        <v>309</v>
      </c>
      <c r="B178" s="31" t="s">
        <v>310</v>
      </c>
      <c r="C178" s="152">
        <v>19.617999999999999</v>
      </c>
      <c r="D178" s="160">
        <v>20.789000000000001</v>
      </c>
      <c r="E178" s="73">
        <f t="shared" si="38"/>
        <v>1.1710000000000029</v>
      </c>
      <c r="F178" s="151">
        <f t="shared" si="39"/>
        <v>105.96900805382813</v>
      </c>
      <c r="G178" s="170"/>
      <c r="H178" s="161"/>
      <c r="I178" s="73"/>
      <c r="J178" s="158"/>
    </row>
    <row r="179" spans="1:10" s="9" customFormat="1">
      <c r="A179" s="30" t="s">
        <v>71</v>
      </c>
      <c r="B179" s="31" t="s">
        <v>82</v>
      </c>
      <c r="C179" s="152">
        <f>C180+C181</f>
        <v>5249.8590000000004</v>
      </c>
      <c r="D179" s="152">
        <f>D180+D181</f>
        <v>5988.576</v>
      </c>
      <c r="E179" s="73">
        <f t="shared" si="38"/>
        <v>738.71699999999964</v>
      </c>
      <c r="F179" s="151">
        <f t="shared" si="39"/>
        <v>114.07117791163532</v>
      </c>
      <c r="G179" s="152">
        <f>G180+G181</f>
        <v>4.9610000000000003</v>
      </c>
      <c r="H179" s="152">
        <f>H180+H181</f>
        <v>82.992000000000004</v>
      </c>
      <c r="I179" s="73">
        <f t="shared" ref="I179" si="46">SUM(H179-G179)</f>
        <v>78.031000000000006</v>
      </c>
      <c r="J179" s="151" t="s">
        <v>414</v>
      </c>
    </row>
    <row r="180" spans="1:10" s="9" customFormat="1" ht="37.5">
      <c r="A180" s="30" t="s">
        <v>72</v>
      </c>
      <c r="B180" s="31" t="s">
        <v>83</v>
      </c>
      <c r="C180" s="152">
        <v>3208.4630000000002</v>
      </c>
      <c r="D180" s="152">
        <v>3341.98</v>
      </c>
      <c r="E180" s="73">
        <f t="shared" si="38"/>
        <v>133.51699999999983</v>
      </c>
      <c r="F180" s="151">
        <f t="shared" si="39"/>
        <v>104.16140064572974</v>
      </c>
      <c r="G180" s="167"/>
      <c r="H180" s="167"/>
      <c r="I180" s="73"/>
      <c r="J180" s="158"/>
    </row>
    <row r="181" spans="1:10" s="9" customFormat="1">
      <c r="A181" s="30" t="s">
        <v>73</v>
      </c>
      <c r="B181" s="31" t="s">
        <v>84</v>
      </c>
      <c r="C181" s="152">
        <v>2041.396</v>
      </c>
      <c r="D181" s="160">
        <v>2646.596</v>
      </c>
      <c r="E181" s="73">
        <f t="shared" si="38"/>
        <v>605.20000000000005</v>
      </c>
      <c r="F181" s="151">
        <f t="shared" si="39"/>
        <v>129.64637924243999</v>
      </c>
      <c r="G181" s="167">
        <v>4.9610000000000003</v>
      </c>
      <c r="H181" s="161">
        <v>82.992000000000004</v>
      </c>
      <c r="I181" s="73">
        <f t="shared" ref="I181" si="47">SUM(H181-G181)</f>
        <v>78.031000000000006</v>
      </c>
      <c r="J181" s="151" t="s">
        <v>414</v>
      </c>
    </row>
    <row r="182" spans="1:10" s="9" customFormat="1" ht="20.25">
      <c r="A182" s="32" t="s">
        <v>56</v>
      </c>
      <c r="B182" s="52" t="s">
        <v>9</v>
      </c>
      <c r="C182" s="70">
        <f>C183+C186+C187+C188+C189+C190+C193</f>
        <v>171770.26412000001</v>
      </c>
      <c r="D182" s="70">
        <f>D183+D186+D187+D188+D189+D190+D193</f>
        <v>216738.90774000002</v>
      </c>
      <c r="E182" s="70">
        <f>SUM(D182-C182)</f>
        <v>44968.643620000017</v>
      </c>
      <c r="F182" s="156">
        <f>SUM(D182/C182*100)</f>
        <v>126.17952755116251</v>
      </c>
      <c r="G182" s="70">
        <f>G183+G186+G187+G188+G189+G190+G193</f>
        <v>18363.607620000002</v>
      </c>
      <c r="H182" s="70">
        <f>H183+H186+H187+H188+H189+H190+H193</f>
        <v>17777.88695</v>
      </c>
      <c r="I182" s="70">
        <f t="shared" ref="I182" si="48">SUM(H182-G182)</f>
        <v>-585.72067000000243</v>
      </c>
      <c r="J182" s="156">
        <f t="shared" ref="J182:J184" si="49">SUM(H182/G182*100)</f>
        <v>96.810427002578251</v>
      </c>
    </row>
    <row r="183" spans="1:10" s="9" customFormat="1">
      <c r="A183" s="40" t="s">
        <v>57</v>
      </c>
      <c r="B183" s="41" t="s">
        <v>131</v>
      </c>
      <c r="C183" s="73">
        <f>SUM(C184:C185)</f>
        <v>25291.447810000001</v>
      </c>
      <c r="D183" s="73">
        <f>SUM(D184:D185)</f>
        <v>24048.47724</v>
      </c>
      <c r="E183" s="73">
        <f>SUM(D183-C183)</f>
        <v>-1242.9705700000013</v>
      </c>
      <c r="F183" s="151">
        <f>SUM(D183/C183*100)</f>
        <v>95.085411561498105</v>
      </c>
      <c r="G183" s="73">
        <f>SUM(G184:G185)</f>
        <v>7346.1417199999996</v>
      </c>
      <c r="H183" s="73">
        <f>SUM(H184:H185)</f>
        <v>4629.4821300000003</v>
      </c>
      <c r="I183" s="73">
        <f t="shared" ref="I183" si="50">SUM(H183-G183)</f>
        <v>-2716.6595899999993</v>
      </c>
      <c r="J183" s="151">
        <f t="shared" si="49"/>
        <v>63.019232495830494</v>
      </c>
    </row>
    <row r="184" spans="1:10" s="9" customFormat="1">
      <c r="A184" s="40" t="s">
        <v>117</v>
      </c>
      <c r="B184" s="41" t="s">
        <v>132</v>
      </c>
      <c r="C184" s="73">
        <v>8101.4917599999999</v>
      </c>
      <c r="D184" s="160">
        <v>9920.1584299999995</v>
      </c>
      <c r="E184" s="73">
        <f>SUM(D184-C184)</f>
        <v>1818.6666699999996</v>
      </c>
      <c r="F184" s="151">
        <f>SUM(D184/C184*100)</f>
        <v>122.44854063765658</v>
      </c>
      <c r="G184" s="73">
        <v>7346.1417199999996</v>
      </c>
      <c r="H184" s="161">
        <v>4629.4821300000003</v>
      </c>
      <c r="I184" s="73">
        <f t="shared" ref="I184" si="51">SUM(H184-G184)</f>
        <v>-2716.6595899999993</v>
      </c>
      <c r="J184" s="151">
        <f t="shared" si="49"/>
        <v>63.019232495830494</v>
      </c>
    </row>
    <row r="185" spans="1:10" s="9" customFormat="1" ht="37.5">
      <c r="A185" s="40" t="s">
        <v>118</v>
      </c>
      <c r="B185" s="42" t="s">
        <v>87</v>
      </c>
      <c r="C185" s="73">
        <v>17189.956050000001</v>
      </c>
      <c r="D185" s="152">
        <v>14128.318810000001</v>
      </c>
      <c r="E185" s="73">
        <f t="shared" ref="E185:E188" si="52">SUM(D185-C185)</f>
        <v>-3061.63724</v>
      </c>
      <c r="F185" s="151">
        <f t="shared" ref="F185" si="53">SUM(D185/C185*100)</f>
        <v>82.189382968201357</v>
      </c>
      <c r="G185" s="73"/>
      <c r="H185" s="73"/>
      <c r="I185" s="73"/>
      <c r="J185" s="158"/>
    </row>
    <row r="186" spans="1:10" s="9" customFormat="1" ht="42" customHeight="1">
      <c r="A186" s="43">
        <v>6020</v>
      </c>
      <c r="B186" s="42" t="s">
        <v>133</v>
      </c>
      <c r="C186" s="152">
        <v>31285.21197</v>
      </c>
      <c r="D186" s="152">
        <v>40234.400150000001</v>
      </c>
      <c r="E186" s="73">
        <f t="shared" si="52"/>
        <v>8949.188180000001</v>
      </c>
      <c r="F186" s="151">
        <f>SUM(D186/C186*100)</f>
        <v>128.60517035518745</v>
      </c>
      <c r="G186" s="152"/>
      <c r="H186" s="152"/>
      <c r="I186" s="109"/>
      <c r="J186" s="151"/>
    </row>
    <row r="187" spans="1:10" s="9" customFormat="1" ht="24" customHeight="1">
      <c r="A187" s="43">
        <v>6030</v>
      </c>
      <c r="B187" s="50" t="s">
        <v>134</v>
      </c>
      <c r="C187" s="152">
        <v>108952.49378</v>
      </c>
      <c r="D187" s="152">
        <v>132133.97179000001</v>
      </c>
      <c r="E187" s="73">
        <f t="shared" si="52"/>
        <v>23181.478010000006</v>
      </c>
      <c r="F187" s="151">
        <f>SUM(D187/C187*100)</f>
        <v>121.27668418201488</v>
      </c>
      <c r="G187" s="152">
        <v>2833.91734</v>
      </c>
      <c r="H187" s="161">
        <v>1985.25299</v>
      </c>
      <c r="I187" s="73">
        <f t="shared" ref="I187:I189" si="54">SUM(H187-G187)</f>
        <v>-848.66435000000001</v>
      </c>
      <c r="J187" s="151">
        <f t="shared" ref="J187" si="55">SUM(H187/G187*100)</f>
        <v>70.053313199318652</v>
      </c>
    </row>
    <row r="188" spans="1:10" s="9" customFormat="1" ht="24" customHeight="1">
      <c r="A188" s="43">
        <v>6040</v>
      </c>
      <c r="B188" s="50" t="s">
        <v>323</v>
      </c>
      <c r="C188" s="152"/>
      <c r="D188" s="152">
        <v>12222.49144</v>
      </c>
      <c r="E188" s="73">
        <f t="shared" si="52"/>
        <v>12222.49144</v>
      </c>
      <c r="F188" s="151"/>
      <c r="G188" s="152"/>
      <c r="H188" s="161"/>
      <c r="I188" s="73"/>
      <c r="J188" s="158"/>
    </row>
    <row r="189" spans="1:10" s="9" customFormat="1" ht="48.75" customHeight="1">
      <c r="A189" s="43">
        <v>6050</v>
      </c>
      <c r="B189" s="51" t="s">
        <v>311</v>
      </c>
      <c r="C189" s="152">
        <v>5657.77556</v>
      </c>
      <c r="D189" s="152">
        <v>7205.4074799999999</v>
      </c>
      <c r="E189" s="73">
        <f t="shared" ref="E189" si="56">SUM(D189-C189)</f>
        <v>1547.6319199999998</v>
      </c>
      <c r="F189" s="151">
        <f t="shared" ref="F189:F191" si="57">SUM(D189/C189*100)</f>
        <v>127.35407058105359</v>
      </c>
      <c r="G189" s="152"/>
      <c r="H189" s="152">
        <v>11163.151830000001</v>
      </c>
      <c r="I189" s="73">
        <f t="shared" si="54"/>
        <v>11163.151830000001</v>
      </c>
      <c r="J189" s="151"/>
    </row>
    <row r="190" spans="1:10" s="9" customFormat="1">
      <c r="A190" s="43">
        <v>6080</v>
      </c>
      <c r="B190" s="42" t="s">
        <v>137</v>
      </c>
      <c r="C190" s="152">
        <f>SUM(C191:C192)</f>
        <v>583.33500000000004</v>
      </c>
      <c r="D190" s="152">
        <f>SUM(D191:D192)</f>
        <v>826.2</v>
      </c>
      <c r="E190" s="73">
        <f t="shared" ref="E190" si="58">SUM(D190-C190)</f>
        <v>242.86500000000001</v>
      </c>
      <c r="F190" s="151">
        <f t="shared" si="57"/>
        <v>141.63388104605414</v>
      </c>
      <c r="G190" s="152">
        <f>SUM(G191:G192)</f>
        <v>7960.4</v>
      </c>
      <c r="H190" s="152">
        <f>SUM(H191:H192)</f>
        <v>0</v>
      </c>
      <c r="I190" s="109">
        <f>H190-G190</f>
        <v>-7960.4</v>
      </c>
      <c r="J190" s="151"/>
    </row>
    <row r="191" spans="1:10" s="9" customFormat="1" ht="42" customHeight="1">
      <c r="A191" s="43">
        <v>6084</v>
      </c>
      <c r="B191" s="42" t="s">
        <v>135</v>
      </c>
      <c r="C191" s="152">
        <v>583.33500000000004</v>
      </c>
      <c r="D191" s="152">
        <v>826.2</v>
      </c>
      <c r="E191" s="73">
        <f t="shared" ref="E191:E193" si="59">SUM(D191-C191)</f>
        <v>242.86500000000001</v>
      </c>
      <c r="F191" s="151">
        <f t="shared" si="57"/>
        <v>141.63388104605414</v>
      </c>
      <c r="G191" s="152"/>
      <c r="H191" s="152"/>
      <c r="I191" s="73"/>
      <c r="J191" s="158"/>
    </row>
    <row r="192" spans="1:10" s="9" customFormat="1">
      <c r="A192" s="43">
        <v>6086</v>
      </c>
      <c r="B192" s="42" t="s">
        <v>188</v>
      </c>
      <c r="C192" s="152"/>
      <c r="D192" s="152"/>
      <c r="E192" s="73"/>
      <c r="F192" s="171"/>
      <c r="G192" s="152">
        <v>7960.4</v>
      </c>
      <c r="H192" s="152"/>
      <c r="I192" s="109">
        <f>H192-G192</f>
        <v>-7960.4</v>
      </c>
      <c r="J192" s="158"/>
    </row>
    <row r="193" spans="1:90" s="9" customFormat="1">
      <c r="A193" s="43">
        <v>6090</v>
      </c>
      <c r="B193" s="42" t="s">
        <v>136</v>
      </c>
      <c r="C193" s="152"/>
      <c r="D193" s="152">
        <v>67.959639999999993</v>
      </c>
      <c r="E193" s="73">
        <f t="shared" si="59"/>
        <v>67.959639999999993</v>
      </c>
      <c r="F193" s="151"/>
      <c r="G193" s="152">
        <v>223.14856</v>
      </c>
      <c r="H193" s="161"/>
      <c r="I193" s="73">
        <f>SUM(H193-G193)</f>
        <v>-223.14856</v>
      </c>
      <c r="J193" s="151">
        <f t="shared" ref="J193" si="60">SUM(H193/G193*100)</f>
        <v>0</v>
      </c>
    </row>
    <row r="194" spans="1:90" ht="20.25">
      <c r="A194" s="85" t="s">
        <v>298</v>
      </c>
      <c r="B194" s="86" t="s">
        <v>299</v>
      </c>
      <c r="C194" s="172">
        <f>SUM(C195+C204+C209)</f>
        <v>189386.01200000002</v>
      </c>
      <c r="D194" s="172">
        <f>SUM(D195+D204+D209)</f>
        <v>198094.48713000002</v>
      </c>
      <c r="E194" s="70">
        <f>SUM(D194-C194)</f>
        <v>8708.4751300000062</v>
      </c>
      <c r="F194" s="156">
        <f t="shared" ref="F194" si="61">SUM(D194/C194*100)</f>
        <v>104.59826733666053</v>
      </c>
      <c r="G194" s="172">
        <f>SUM(G195+G204+G209)</f>
        <v>230436.76600000003</v>
      </c>
      <c r="H194" s="172">
        <f>SUM(H195+H204+H209)</f>
        <v>385744.88699999999</v>
      </c>
      <c r="I194" s="70">
        <f>SUM(H194-G194)</f>
        <v>155308.12099999996</v>
      </c>
      <c r="J194" s="156" t="s">
        <v>411</v>
      </c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</row>
    <row r="195" spans="1:90" ht="25.5" customHeight="1">
      <c r="A195" s="53" t="s">
        <v>85</v>
      </c>
      <c r="B195" s="49" t="s">
        <v>138</v>
      </c>
      <c r="C195" s="103"/>
      <c r="D195" s="103">
        <f>D196+D197+SUM(D201:D203)</f>
        <v>3</v>
      </c>
      <c r="E195" s="103">
        <f>E196+E197+SUM(E201:E203)</f>
        <v>3</v>
      </c>
      <c r="F195" s="104"/>
      <c r="G195" s="103">
        <f>G196+G197+SUM(G201:G203)</f>
        <v>2005.183</v>
      </c>
      <c r="H195" s="103">
        <f>H196+H197+SUM(H201:H203)</f>
        <v>162377.89300000001</v>
      </c>
      <c r="I195" s="103">
        <f>H195-G195</f>
        <v>160372.71000000002</v>
      </c>
      <c r="J195" s="156" t="s">
        <v>415</v>
      </c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</row>
    <row r="196" spans="1:90" ht="21" customHeight="1">
      <c r="A196" s="35">
        <v>7310</v>
      </c>
      <c r="B196" s="54" t="s">
        <v>139</v>
      </c>
      <c r="C196" s="108"/>
      <c r="D196" s="108"/>
      <c r="E196" s="109"/>
      <c r="F196" s="173"/>
      <c r="G196" s="108">
        <v>289.89600000000002</v>
      </c>
      <c r="H196" s="174">
        <v>2814.482</v>
      </c>
      <c r="I196" s="109">
        <f>SUM(H196-G196)</f>
        <v>2524.5859999999998</v>
      </c>
      <c r="J196" s="110" t="s">
        <v>343</v>
      </c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</row>
    <row r="197" spans="1:90" ht="21" customHeight="1">
      <c r="A197" s="35">
        <v>7320</v>
      </c>
      <c r="B197" s="55" t="s">
        <v>143</v>
      </c>
      <c r="C197" s="109"/>
      <c r="D197" s="109"/>
      <c r="E197" s="109"/>
      <c r="F197" s="173"/>
      <c r="G197" s="108">
        <f>SUM(G198:G200)</f>
        <v>767.31799999999998</v>
      </c>
      <c r="H197" s="108">
        <f>SUM(H198:H200)</f>
        <v>1853.7280000000001</v>
      </c>
      <c r="I197" s="109">
        <f>SUM(H197-G197)</f>
        <v>1086.4100000000001</v>
      </c>
      <c r="J197" s="110" t="s">
        <v>344</v>
      </c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</row>
    <row r="198" spans="1:90" ht="21" customHeight="1">
      <c r="A198" s="35">
        <v>7321</v>
      </c>
      <c r="B198" s="54" t="s">
        <v>140</v>
      </c>
      <c r="C198" s="175"/>
      <c r="D198" s="108"/>
      <c r="E198" s="109"/>
      <c r="F198" s="173"/>
      <c r="G198" s="108"/>
      <c r="H198" s="108">
        <v>540.00300000000004</v>
      </c>
      <c r="I198" s="109">
        <f>SUM(H198-G198)</f>
        <v>540.00300000000004</v>
      </c>
      <c r="J198" s="110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</row>
    <row r="199" spans="1:90" ht="21" customHeight="1">
      <c r="A199" s="35">
        <v>7322</v>
      </c>
      <c r="B199" s="36" t="s">
        <v>141</v>
      </c>
      <c r="C199" s="175"/>
      <c r="D199" s="108"/>
      <c r="E199" s="109"/>
      <c r="F199" s="173"/>
      <c r="G199" s="108">
        <v>412.43900000000002</v>
      </c>
      <c r="H199" s="108">
        <v>927.96699999999998</v>
      </c>
      <c r="I199" s="109">
        <f t="shared" ref="I199" si="62">SUM(H199-G199)</f>
        <v>515.52800000000002</v>
      </c>
      <c r="J199" s="151" t="s">
        <v>394</v>
      </c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</row>
    <row r="200" spans="1:90" ht="21" customHeight="1">
      <c r="A200" s="35">
        <v>7325</v>
      </c>
      <c r="B200" s="56" t="s">
        <v>142</v>
      </c>
      <c r="C200" s="175"/>
      <c r="D200" s="108"/>
      <c r="E200" s="109"/>
      <c r="F200" s="173"/>
      <c r="G200" s="108">
        <v>354.87900000000002</v>
      </c>
      <c r="H200" s="108">
        <v>385.75799999999998</v>
      </c>
      <c r="I200" s="109">
        <f t="shared" ref="I200" si="63">SUM(H200-G200)</f>
        <v>30.878999999999962</v>
      </c>
      <c r="J200" s="110">
        <f t="shared" ref="J200" si="64">SUM(H200/G200*100)</f>
        <v>108.70127564606527</v>
      </c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</row>
    <row r="201" spans="1:90" ht="21" customHeight="1">
      <c r="A201" s="38" t="s">
        <v>333</v>
      </c>
      <c r="B201" s="62" t="s">
        <v>334</v>
      </c>
      <c r="C201" s="176"/>
      <c r="D201" s="177"/>
      <c r="E201" s="109"/>
      <c r="F201" s="173"/>
      <c r="G201" s="108"/>
      <c r="H201" s="108">
        <v>16054.924999999999</v>
      </c>
      <c r="I201" s="109">
        <f t="shared" ref="I201" si="65">SUM(H201-G201)</f>
        <v>16054.924999999999</v>
      </c>
      <c r="J201" s="110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</row>
    <row r="202" spans="1:90" ht="18" customHeight="1">
      <c r="A202" s="38" t="s">
        <v>155</v>
      </c>
      <c r="B202" s="55" t="s">
        <v>156</v>
      </c>
      <c r="C202" s="174"/>
      <c r="D202" s="174">
        <v>3</v>
      </c>
      <c r="E202" s="109">
        <f t="shared" ref="E202:E208" si="66">SUM(D202-C202)</f>
        <v>3</v>
      </c>
      <c r="F202" s="110"/>
      <c r="G202" s="108">
        <v>947.96900000000005</v>
      </c>
      <c r="H202" s="108">
        <v>156.39699999999999</v>
      </c>
      <c r="I202" s="109">
        <f t="shared" ref="I202:I208" si="67">SUM(H202-G202)</f>
        <v>-791.57200000000012</v>
      </c>
      <c r="J202" s="110">
        <f>SUM(H202/G202*100)</f>
        <v>16.498113334929727</v>
      </c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</row>
    <row r="203" spans="1:90" ht="46.5" customHeight="1">
      <c r="A203" s="38" t="s">
        <v>392</v>
      </c>
      <c r="B203" s="148" t="s">
        <v>393</v>
      </c>
      <c r="C203" s="174"/>
      <c r="D203" s="174"/>
      <c r="E203" s="109"/>
      <c r="F203" s="110"/>
      <c r="G203" s="108"/>
      <c r="H203" s="108">
        <v>141498.361</v>
      </c>
      <c r="I203" s="109">
        <f t="shared" ref="I203" si="68">SUM(H203-G203)</f>
        <v>141498.361</v>
      </c>
      <c r="J203" s="110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</row>
    <row r="204" spans="1:90" ht="20.25">
      <c r="A204" s="48" t="s">
        <v>89</v>
      </c>
      <c r="B204" s="49" t="s">
        <v>144</v>
      </c>
      <c r="C204" s="103">
        <f>SUM(C205+C207)</f>
        <v>185579.45600000001</v>
      </c>
      <c r="D204" s="103">
        <f>SUM(D205+D207)</f>
        <v>188294.05800000002</v>
      </c>
      <c r="E204" s="103">
        <f t="shared" si="66"/>
        <v>2714.6020000000135</v>
      </c>
      <c r="F204" s="104">
        <f>SUM(D204/C204*100)</f>
        <v>101.46277074979679</v>
      </c>
      <c r="G204" s="103">
        <f>SUM(G205+G207)</f>
        <v>5375.7129999999997</v>
      </c>
      <c r="H204" s="103">
        <f>SUM(H205+H207)</f>
        <v>64</v>
      </c>
      <c r="I204" s="103">
        <f t="shared" si="67"/>
        <v>-5311.7129999999997</v>
      </c>
      <c r="J204" s="104">
        <f>SUM(H204/G204*100)</f>
        <v>1.1905397479366924</v>
      </c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</row>
    <row r="205" spans="1:90">
      <c r="A205" s="35">
        <v>7420</v>
      </c>
      <c r="B205" s="36" t="s">
        <v>148</v>
      </c>
      <c r="C205" s="109">
        <f>C206</f>
        <v>123731.893</v>
      </c>
      <c r="D205" s="109">
        <f>D206</f>
        <v>154504.52100000001</v>
      </c>
      <c r="E205" s="109">
        <f t="shared" si="66"/>
        <v>30772.628000000012</v>
      </c>
      <c r="F205" s="110">
        <f>SUM(D205/C205*100)</f>
        <v>124.87040911917514</v>
      </c>
      <c r="G205" s="109"/>
      <c r="H205" s="109"/>
      <c r="I205" s="109"/>
      <c r="J205" s="110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</row>
    <row r="206" spans="1:90">
      <c r="A206" s="37" t="s">
        <v>147</v>
      </c>
      <c r="B206" s="36" t="s">
        <v>88</v>
      </c>
      <c r="C206" s="109">
        <v>123731.893</v>
      </c>
      <c r="D206" s="109">
        <v>154504.52100000001</v>
      </c>
      <c r="E206" s="109">
        <f t="shared" si="66"/>
        <v>30772.628000000012</v>
      </c>
      <c r="F206" s="110">
        <f>SUM(D206/C206*100)</f>
        <v>124.87040911917514</v>
      </c>
      <c r="G206" s="109"/>
      <c r="H206" s="109"/>
      <c r="I206" s="109"/>
      <c r="J206" s="110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</row>
    <row r="207" spans="1:90">
      <c r="A207" s="35">
        <v>7460</v>
      </c>
      <c r="B207" s="36" t="s">
        <v>145</v>
      </c>
      <c r="C207" s="174">
        <f>C208</f>
        <v>61847.563000000002</v>
      </c>
      <c r="D207" s="174">
        <f>D208</f>
        <v>33789.536999999997</v>
      </c>
      <c r="E207" s="109">
        <f t="shared" si="66"/>
        <v>-28058.026000000005</v>
      </c>
      <c r="F207" s="110">
        <f>SUM(D207/C207*100)</f>
        <v>54.633578690885521</v>
      </c>
      <c r="G207" s="174">
        <f>G208</f>
        <v>5375.7129999999997</v>
      </c>
      <c r="H207" s="174">
        <f>H208</f>
        <v>64</v>
      </c>
      <c r="I207" s="109">
        <f t="shared" si="67"/>
        <v>-5311.7129999999997</v>
      </c>
      <c r="J207" s="110">
        <f>SUM(H207/G207*100)</f>
        <v>1.1905397479366924</v>
      </c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</row>
    <row r="208" spans="1:90" ht="37.5">
      <c r="A208" s="35">
        <v>7461</v>
      </c>
      <c r="B208" s="36" t="s">
        <v>146</v>
      </c>
      <c r="C208" s="108">
        <v>61847.563000000002</v>
      </c>
      <c r="D208" s="108">
        <f>33776.356+13.181</f>
        <v>33789.536999999997</v>
      </c>
      <c r="E208" s="109">
        <f t="shared" si="66"/>
        <v>-28058.026000000005</v>
      </c>
      <c r="F208" s="110">
        <f>SUM(D208/C208*100)</f>
        <v>54.633578690885521</v>
      </c>
      <c r="G208" s="108">
        <v>5375.7129999999997</v>
      </c>
      <c r="H208" s="108">
        <v>64</v>
      </c>
      <c r="I208" s="109">
        <f t="shared" si="67"/>
        <v>-5311.7129999999997</v>
      </c>
      <c r="J208" s="110">
        <f>SUM(H208/G208*100)</f>
        <v>1.1905397479366924</v>
      </c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</row>
    <row r="209" spans="1:90" ht="20.25">
      <c r="A209" s="44" t="s">
        <v>95</v>
      </c>
      <c r="B209" s="45" t="s">
        <v>149</v>
      </c>
      <c r="C209" s="178">
        <f>SUM(C210:C213)</f>
        <v>3806.556</v>
      </c>
      <c r="D209" s="178">
        <f>SUM(D210:D213)</f>
        <v>9797.4291300000004</v>
      </c>
      <c r="E209" s="103">
        <f>SUM(D209-C209)</f>
        <v>5990.8731299999999</v>
      </c>
      <c r="F209" s="103" t="s">
        <v>403</v>
      </c>
      <c r="G209" s="178">
        <f>SUM(G210:G213)</f>
        <v>223055.87000000002</v>
      </c>
      <c r="H209" s="178">
        <f>SUM(H210:H213)</f>
        <v>223302.99399999998</v>
      </c>
      <c r="I209" s="103">
        <f>SUM(H209-G209)</f>
        <v>247.1239999999525</v>
      </c>
      <c r="J209" s="104">
        <f>SUM(H209/G209*100)</f>
        <v>100.11079018005667</v>
      </c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</row>
    <row r="210" spans="1:90">
      <c r="A210" s="46" t="s">
        <v>150</v>
      </c>
      <c r="B210" s="39" t="s">
        <v>93</v>
      </c>
      <c r="C210" s="108">
        <v>806.01099999999997</v>
      </c>
      <c r="D210" s="179">
        <v>5954.0916900000002</v>
      </c>
      <c r="E210" s="109">
        <f>SUM(D210-C210)</f>
        <v>5148.0806900000007</v>
      </c>
      <c r="F210" s="110" t="s">
        <v>339</v>
      </c>
      <c r="G210" s="108">
        <v>2206.92</v>
      </c>
      <c r="H210" s="174">
        <v>7253.8789999999999</v>
      </c>
      <c r="I210" s="109">
        <f t="shared" ref="I210" si="69">SUM(H210-G210)</f>
        <v>5046.9589999999998</v>
      </c>
      <c r="J210" s="151" t="s">
        <v>338</v>
      </c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</row>
    <row r="211" spans="1:90">
      <c r="A211" s="38" t="s">
        <v>151</v>
      </c>
      <c r="B211" s="39" t="s">
        <v>90</v>
      </c>
      <c r="C211" s="108"/>
      <c r="D211" s="108"/>
      <c r="E211" s="109"/>
      <c r="F211" s="173"/>
      <c r="G211" s="108">
        <f>1500+219330.844</f>
        <v>220830.84400000001</v>
      </c>
      <c r="H211" s="108">
        <f>22000+194049.115</f>
        <v>216049.11499999999</v>
      </c>
      <c r="I211" s="109">
        <f t="shared" ref="I211" si="70">SUM(H211-G211)</f>
        <v>-4781.7290000000212</v>
      </c>
      <c r="J211" s="110">
        <f>SUM(H211/G211*100)</f>
        <v>97.834664346072955</v>
      </c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</row>
    <row r="212" spans="1:90">
      <c r="A212" s="38" t="s">
        <v>180</v>
      </c>
      <c r="B212" s="39" t="s">
        <v>183</v>
      </c>
      <c r="C212" s="108">
        <v>141.011</v>
      </c>
      <c r="D212" s="179">
        <v>210.822</v>
      </c>
      <c r="E212" s="109">
        <f>SUM(D212-C212)</f>
        <v>69.811000000000007</v>
      </c>
      <c r="F212" s="110">
        <f>SUM(D212/C212*100)</f>
        <v>149.50748523164862</v>
      </c>
      <c r="G212" s="108"/>
      <c r="H212" s="108"/>
      <c r="I212" s="109"/>
      <c r="J212" s="110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</row>
    <row r="213" spans="1:90">
      <c r="A213" s="38" t="s">
        <v>153</v>
      </c>
      <c r="B213" s="47" t="s">
        <v>152</v>
      </c>
      <c r="C213" s="108">
        <f>C214+C215</f>
        <v>2859.5340000000001</v>
      </c>
      <c r="D213" s="108">
        <f>D214+D215</f>
        <v>3632.5154400000001</v>
      </c>
      <c r="E213" s="109">
        <f>SUM(D213-C213)</f>
        <v>772.98144000000002</v>
      </c>
      <c r="F213" s="110">
        <f>SUM(D213/C213*100)</f>
        <v>127.03172754721575</v>
      </c>
      <c r="G213" s="108">
        <f>G214</f>
        <v>18.106000000000002</v>
      </c>
      <c r="H213" s="108"/>
      <c r="I213" s="109">
        <f>SUM(H213-G213)</f>
        <v>-18.106000000000002</v>
      </c>
      <c r="J213" s="110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</row>
    <row r="214" spans="1:90" ht="75">
      <c r="A214" s="38" t="s">
        <v>198</v>
      </c>
      <c r="B214" s="36" t="s">
        <v>199</v>
      </c>
      <c r="C214" s="108"/>
      <c r="D214" s="108"/>
      <c r="E214" s="108"/>
      <c r="F214" s="110"/>
      <c r="G214" s="108">
        <f>18.106</f>
        <v>18.106000000000002</v>
      </c>
      <c r="H214" s="174"/>
      <c r="I214" s="109">
        <f>SUM(H214-G214)</f>
        <v>-18.106000000000002</v>
      </c>
      <c r="J214" s="110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</row>
    <row r="215" spans="1:90">
      <c r="A215" s="29" t="s">
        <v>154</v>
      </c>
      <c r="B215" s="31" t="s">
        <v>94</v>
      </c>
      <c r="C215" s="152">
        <v>2859.5340000000001</v>
      </c>
      <c r="D215" s="160">
        <v>3632.5154400000001</v>
      </c>
      <c r="E215" s="73">
        <f>SUM(D215-C215)</f>
        <v>772.98144000000002</v>
      </c>
      <c r="F215" s="151">
        <f>SUM(D215/C215*100)</f>
        <v>127.03172754721575</v>
      </c>
      <c r="G215" s="152"/>
      <c r="H215" s="152"/>
      <c r="I215" s="73"/>
      <c r="J215" s="151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</row>
    <row r="216" spans="1:90" ht="21.75" customHeight="1">
      <c r="A216" s="85" t="s">
        <v>86</v>
      </c>
      <c r="B216" s="86" t="s">
        <v>166</v>
      </c>
      <c r="C216" s="172">
        <f>SUM(C217)+C219+C222</f>
        <v>20465.218999999997</v>
      </c>
      <c r="D216" s="172">
        <f>SUM(D217)+D219+D222</f>
        <v>25784.287999999997</v>
      </c>
      <c r="E216" s="70">
        <f>SUM(D216-C216)</f>
        <v>5319.0689999999995</v>
      </c>
      <c r="F216" s="156">
        <f>SUM(D216/C216*100)</f>
        <v>125.99077488494015</v>
      </c>
      <c r="G216" s="172">
        <f>SUM(G217)+G219</f>
        <v>38609.027999999998</v>
      </c>
      <c r="H216" s="172">
        <f>SUM(H217)+H219</f>
        <v>38050.357000000004</v>
      </c>
      <c r="I216" s="70">
        <f t="shared" ref="I216:I218" si="71">SUM(H216-G216)</f>
        <v>-558.67099999999482</v>
      </c>
      <c r="J216" s="156">
        <f t="shared" ref="J216:J218" si="72">SUM(H216/G216*100)</f>
        <v>98.553004235175266</v>
      </c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</row>
    <row r="217" spans="1:90" ht="50.25" customHeight="1">
      <c r="A217" s="92" t="s">
        <v>157</v>
      </c>
      <c r="B217" s="68" t="s">
        <v>158</v>
      </c>
      <c r="C217" s="172">
        <f>SUM(C218:C218)</f>
        <v>11603.275</v>
      </c>
      <c r="D217" s="172">
        <f>SUM(D218:D218)</f>
        <v>24856.762999999999</v>
      </c>
      <c r="E217" s="70">
        <f>SUM(D217-C217)</f>
        <v>13253.487999999999</v>
      </c>
      <c r="F217" s="156" t="s">
        <v>404</v>
      </c>
      <c r="G217" s="172">
        <f>SUM(G218:G218)</f>
        <v>27460.637999999999</v>
      </c>
      <c r="H217" s="172">
        <f>SUM(H218:H218)</f>
        <v>33648.057000000001</v>
      </c>
      <c r="I217" s="70">
        <f t="shared" si="71"/>
        <v>6187.4190000000017</v>
      </c>
      <c r="J217" s="156">
        <f t="shared" si="72"/>
        <v>122.53195646801798</v>
      </c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</row>
    <row r="218" spans="1:90">
      <c r="A218" s="38" t="s">
        <v>159</v>
      </c>
      <c r="B218" s="36" t="s">
        <v>160</v>
      </c>
      <c r="C218" s="108">
        <v>11603.275</v>
      </c>
      <c r="D218" s="179">
        <v>24856.762999999999</v>
      </c>
      <c r="E218" s="109">
        <f>SUM(D218-C218)</f>
        <v>13253.487999999999</v>
      </c>
      <c r="F218" s="151" t="s">
        <v>404</v>
      </c>
      <c r="G218" s="108">
        <v>27460.637999999999</v>
      </c>
      <c r="H218" s="108">
        <v>33648.057000000001</v>
      </c>
      <c r="I218" s="109">
        <f t="shared" si="71"/>
        <v>6187.4190000000017</v>
      </c>
      <c r="J218" s="110">
        <f t="shared" si="72"/>
        <v>122.53195646801798</v>
      </c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</row>
    <row r="219" spans="1:90" ht="24.75" customHeight="1">
      <c r="A219" s="93" t="s">
        <v>164</v>
      </c>
      <c r="B219" s="94" t="s">
        <v>167</v>
      </c>
      <c r="C219" s="172">
        <f>SUM(C220:C221)</f>
        <v>8418.4779999999992</v>
      </c>
      <c r="D219" s="172">
        <f>SUM(D220:D221)</f>
        <v>558.61899999999991</v>
      </c>
      <c r="E219" s="70">
        <f>SUM(D219-C219)</f>
        <v>-7859.8589999999995</v>
      </c>
      <c r="F219" s="156">
        <f t="shared" ref="F219" si="73">SUM(D219/C219*100)</f>
        <v>6.635629385739322</v>
      </c>
      <c r="G219" s="172">
        <f>SUM(G220:G221)</f>
        <v>11148.39</v>
      </c>
      <c r="H219" s="172">
        <f>SUM(H220:H221)</f>
        <v>4402.3</v>
      </c>
      <c r="I219" s="70">
        <f t="shared" ref="I219" si="74">SUM(H219-G219)</f>
        <v>-6746.0899999999992</v>
      </c>
      <c r="J219" s="156">
        <f t="shared" ref="J219" si="75">SUM(H219/G219*100)</f>
        <v>39.488213096240806</v>
      </c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</row>
    <row r="220" spans="1:90">
      <c r="A220" s="29" t="s">
        <v>165</v>
      </c>
      <c r="B220" s="31" t="s">
        <v>175</v>
      </c>
      <c r="C220" s="157"/>
      <c r="D220" s="160">
        <v>22.8</v>
      </c>
      <c r="E220" s="109">
        <f>D220-C220</f>
        <v>22.8</v>
      </c>
      <c r="F220" s="151"/>
      <c r="G220" s="152"/>
      <c r="H220" s="152"/>
      <c r="I220" s="73"/>
      <c r="J220" s="151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</row>
    <row r="221" spans="1:90" ht="24.75" customHeight="1">
      <c r="A221" s="29" t="s">
        <v>296</v>
      </c>
      <c r="B221" s="95" t="s">
        <v>297</v>
      </c>
      <c r="C221" s="180">
        <v>8418.4779999999992</v>
      </c>
      <c r="D221" s="160">
        <v>535.81899999999996</v>
      </c>
      <c r="E221" s="73">
        <f>SUM(D221-C221)</f>
        <v>-7882.6589999999997</v>
      </c>
      <c r="F221" s="151">
        <f t="shared" ref="F221:F222" si="76">SUM(D221/C221*100)</f>
        <v>6.3647965819949874</v>
      </c>
      <c r="G221" s="152">
        <v>11148.39</v>
      </c>
      <c r="H221" s="161">
        <v>4402.3</v>
      </c>
      <c r="I221" s="73">
        <f>SUM(H221-G221)</f>
        <v>-6746.0899999999992</v>
      </c>
      <c r="J221" s="151">
        <f t="shared" ref="J221:J223" si="77">SUM(H221/G221*100)</f>
        <v>39.488213096240806</v>
      </c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</row>
    <row r="222" spans="1:90" ht="29.25" customHeight="1">
      <c r="A222" s="29" t="s">
        <v>351</v>
      </c>
      <c r="B222" s="95" t="s">
        <v>352</v>
      </c>
      <c r="C222" s="180">
        <v>443.46600000000001</v>
      </c>
      <c r="D222" s="160">
        <v>368.90600000000001</v>
      </c>
      <c r="E222" s="109">
        <f>D222-C222</f>
        <v>-74.56</v>
      </c>
      <c r="F222" s="151">
        <f t="shared" si="76"/>
        <v>83.186986150009247</v>
      </c>
      <c r="G222" s="152"/>
      <c r="H222" s="161"/>
      <c r="I222" s="73"/>
      <c r="J222" s="151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</row>
    <row r="223" spans="1:90" ht="20.25">
      <c r="A223" s="32"/>
      <c r="B223" s="33" t="s">
        <v>16</v>
      </c>
      <c r="C223" s="181">
        <f>C97+C101+C125+C134+C162+C168+C182+C194+C216</f>
        <v>1711497.1021200002</v>
      </c>
      <c r="D223" s="181">
        <f>D97+D101+D125+D134+D162+D168+D182+D194+D216</f>
        <v>1896400.6518699997</v>
      </c>
      <c r="E223" s="70">
        <f>SUM(D223-C223)</f>
        <v>184903.54974999954</v>
      </c>
      <c r="F223" s="156">
        <f t="shared" ref="F223:F224" si="78">SUM(D223/C223*100)</f>
        <v>110.80361453846244</v>
      </c>
      <c r="G223" s="181">
        <f>G97+G101+G125+G134+G162+G168+G182+G194+G216</f>
        <v>407386.94062000007</v>
      </c>
      <c r="H223" s="181">
        <f>H97+H101+H125+H134+H162+H168+H182+H194+H216</f>
        <v>560420.38894999993</v>
      </c>
      <c r="I223" s="70">
        <f>SUM(H223-G223)</f>
        <v>153033.44832999987</v>
      </c>
      <c r="J223" s="156">
        <f t="shared" si="77"/>
        <v>137.56464262136117</v>
      </c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</row>
    <row r="224" spans="1:90" ht="20.25">
      <c r="A224" s="32"/>
      <c r="B224" s="33" t="s">
        <v>14</v>
      </c>
      <c r="C224" s="181">
        <f>SUM(C225:C226)</f>
        <v>135494.886</v>
      </c>
      <c r="D224" s="181">
        <f>SUM(D225:D226)</f>
        <v>34910.199999999997</v>
      </c>
      <c r="E224" s="70">
        <f>SUM(D224-C224)</f>
        <v>-100584.686</v>
      </c>
      <c r="F224" s="156">
        <f t="shared" si="78"/>
        <v>25.7649576530881</v>
      </c>
      <c r="G224" s="181"/>
      <c r="H224" s="181"/>
      <c r="I224" s="70"/>
      <c r="J224" s="15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</row>
    <row r="225" spans="1:90">
      <c r="A225" s="30" t="s">
        <v>185</v>
      </c>
      <c r="B225" s="50" t="s">
        <v>182</v>
      </c>
      <c r="C225" s="73">
        <v>42472.226000000002</v>
      </c>
      <c r="D225" s="160">
        <v>27647.200000000001</v>
      </c>
      <c r="E225" s="73">
        <f t="shared" ref="E225:E226" si="79">SUM(D225-C225)</f>
        <v>-14825.026000000002</v>
      </c>
      <c r="F225" s="151">
        <f>SUM(D225/C225*100)</f>
        <v>65.09477511256415</v>
      </c>
      <c r="G225" s="73"/>
      <c r="H225" s="73"/>
      <c r="I225" s="73"/>
      <c r="J225" s="158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</row>
    <row r="226" spans="1:90" ht="37.5">
      <c r="A226" s="30" t="s">
        <v>353</v>
      </c>
      <c r="B226" s="50" t="s">
        <v>354</v>
      </c>
      <c r="C226" s="73">
        <v>93022.66</v>
      </c>
      <c r="D226" s="160">
        <v>7263</v>
      </c>
      <c r="E226" s="73">
        <f t="shared" si="79"/>
        <v>-85759.66</v>
      </c>
      <c r="F226" s="151">
        <f>SUM(D226/C226*100)</f>
        <v>7.8077750087989308</v>
      </c>
      <c r="G226" s="73"/>
      <c r="H226" s="73"/>
      <c r="I226" s="73"/>
      <c r="J226" s="158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</row>
    <row r="227" spans="1:90" ht="20.25">
      <c r="A227" s="60"/>
      <c r="B227" s="96" t="s">
        <v>18</v>
      </c>
      <c r="C227" s="172">
        <f>C223+C224</f>
        <v>1846991.9881200001</v>
      </c>
      <c r="D227" s="172">
        <f>D223+D224</f>
        <v>1931310.8518699997</v>
      </c>
      <c r="E227" s="70">
        <f t="shared" ref="E227" si="80">SUM(D227-C227)</f>
        <v>84318.863749999553</v>
      </c>
      <c r="F227" s="156">
        <f>SUM(D227/C227*100)</f>
        <v>104.56519921539157</v>
      </c>
      <c r="G227" s="172">
        <f>G223+G224</f>
        <v>407386.94062000007</v>
      </c>
      <c r="H227" s="172">
        <f>H223+H224</f>
        <v>560420.38894999993</v>
      </c>
      <c r="I227" s="70">
        <f t="shared" ref="I227" si="81">SUM(H227-G227)</f>
        <v>153033.44832999987</v>
      </c>
      <c r="J227" s="159">
        <f t="shared" ref="J227" si="82">SUM(H227/G227*100)</f>
        <v>137.56464262136117</v>
      </c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</row>
    <row r="228" spans="1:90" ht="20.25">
      <c r="A228" s="57"/>
      <c r="B228" s="58" t="s">
        <v>17</v>
      </c>
      <c r="C228" s="103"/>
      <c r="D228" s="103"/>
      <c r="E228" s="103"/>
      <c r="F228" s="111"/>
      <c r="G228" s="103">
        <f>SUM(G230:G230)</f>
        <v>-2920.5079999999998</v>
      </c>
      <c r="H228" s="103">
        <f>SUM(H230:H230)</f>
        <v>-4404.6099999999997</v>
      </c>
      <c r="I228" s="103">
        <f t="shared" ref="I228" si="83">SUM(H228-G228)</f>
        <v>-1484.1019999999999</v>
      </c>
      <c r="J228" s="105" t="s">
        <v>340</v>
      </c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</row>
    <row r="229" spans="1:90" ht="41.65" customHeight="1">
      <c r="A229" s="57" t="s">
        <v>162</v>
      </c>
      <c r="B229" s="58" t="s">
        <v>163</v>
      </c>
      <c r="C229" s="103"/>
      <c r="D229" s="103"/>
      <c r="E229" s="103"/>
      <c r="F229" s="111"/>
      <c r="G229" s="103">
        <f>SUM(G230:G230)</f>
        <v>-2920.5079999999998</v>
      </c>
      <c r="H229" s="103">
        <f>SUM(H230:H230)</f>
        <v>-4404.6099999999997</v>
      </c>
      <c r="I229" s="103">
        <f t="shared" ref="I229" si="84">SUM(H229-G229)</f>
        <v>-1484.1019999999999</v>
      </c>
      <c r="J229" s="105" t="s">
        <v>345</v>
      </c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</row>
    <row r="230" spans="1:90" ht="37.5">
      <c r="A230" s="38" t="s">
        <v>161</v>
      </c>
      <c r="B230" s="59" t="s">
        <v>193</v>
      </c>
      <c r="C230" s="109"/>
      <c r="D230" s="109"/>
      <c r="E230" s="109"/>
      <c r="F230" s="110"/>
      <c r="G230" s="109">
        <v>-2920.5079999999998</v>
      </c>
      <c r="H230" s="109">
        <v>-4404.6099999999997</v>
      </c>
      <c r="I230" s="109">
        <f t="shared" ref="I230:I231" si="85">SUM(H230-G230)</f>
        <v>-1484.1019999999999</v>
      </c>
      <c r="J230" s="111" t="s">
        <v>340</v>
      </c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</row>
    <row r="231" spans="1:90" ht="20.25">
      <c r="A231" s="97"/>
      <c r="B231" s="98" t="s">
        <v>15</v>
      </c>
      <c r="C231" s="172">
        <f>C227+C228</f>
        <v>1846991.9881200001</v>
      </c>
      <c r="D231" s="172">
        <f>D227+D228</f>
        <v>1931310.8518699997</v>
      </c>
      <c r="E231" s="70">
        <f>SUM(D231-C231)</f>
        <v>84318.863749999553</v>
      </c>
      <c r="F231" s="156">
        <f>SUM(D231/C231*100)</f>
        <v>104.56519921539157</v>
      </c>
      <c r="G231" s="172">
        <f>G227+G228</f>
        <v>404466.43262000009</v>
      </c>
      <c r="H231" s="172">
        <f>H227+H228</f>
        <v>556015.77894999995</v>
      </c>
      <c r="I231" s="70">
        <f t="shared" si="85"/>
        <v>151549.34632999985</v>
      </c>
      <c r="J231" s="159">
        <f t="shared" ref="J231" si="86">SUM(H231/G231*100)</f>
        <v>137.46895517344001</v>
      </c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</row>
    <row r="232" spans="1:90" ht="20.25">
      <c r="A232" s="97"/>
      <c r="B232" s="86" t="s">
        <v>19</v>
      </c>
      <c r="C232" s="172"/>
      <c r="D232" s="172"/>
      <c r="E232" s="73"/>
      <c r="F232" s="151"/>
      <c r="G232" s="172"/>
      <c r="H232" s="172"/>
      <c r="I232" s="70"/>
      <c r="J232" s="15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</row>
    <row r="233" spans="1:90" ht="20.25">
      <c r="A233" s="99"/>
      <c r="B233" s="86" t="s">
        <v>20</v>
      </c>
      <c r="C233" s="172">
        <f>-C234</f>
        <v>1179617.392</v>
      </c>
      <c r="D233" s="172">
        <f>-D234</f>
        <v>896339.10199999996</v>
      </c>
      <c r="E233" s="70">
        <f>SUM(D233-C233)</f>
        <v>-283278.29000000004</v>
      </c>
      <c r="F233" s="156">
        <f>SUM(D233/C233*100)</f>
        <v>75.985578720595868</v>
      </c>
      <c r="G233" s="172">
        <f>-G234-G237</f>
        <v>-300043.554</v>
      </c>
      <c r="H233" s="172">
        <f>-H234-H237</f>
        <v>-279153.58999999997</v>
      </c>
      <c r="I233" s="70">
        <f t="shared" ref="I233:I234" si="87">SUM(H233-G233)</f>
        <v>20889.964000000036</v>
      </c>
      <c r="J233" s="159">
        <f t="shared" ref="J233:J234" si="88">SUM(H233/G233*100)</f>
        <v>93.037689454911586</v>
      </c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</row>
    <row r="234" spans="1:90" ht="20.25">
      <c r="A234" s="88">
        <v>200000</v>
      </c>
      <c r="B234" s="86" t="s">
        <v>21</v>
      </c>
      <c r="C234" s="172">
        <f>SUM(C235:C236)</f>
        <v>-1179617.392</v>
      </c>
      <c r="D234" s="172">
        <f>SUM(D235:D236)</f>
        <v>-896339.10199999996</v>
      </c>
      <c r="E234" s="70">
        <f>SUM(D234-C234)</f>
        <v>283278.29000000004</v>
      </c>
      <c r="F234" s="156">
        <f>SUM(D234/C234*100)</f>
        <v>75.985578720595868</v>
      </c>
      <c r="G234" s="172">
        <f>SUM(G235:G236)</f>
        <v>301852.59500000003</v>
      </c>
      <c r="H234" s="172">
        <f>SUM(H235:H236)</f>
        <v>281143.85199999996</v>
      </c>
      <c r="I234" s="70">
        <f t="shared" si="87"/>
        <v>-20708.743000000075</v>
      </c>
      <c r="J234" s="159">
        <f t="shared" si="88"/>
        <v>93.139451724773124</v>
      </c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</row>
    <row r="235" spans="1:90">
      <c r="A235" s="74">
        <v>205000</v>
      </c>
      <c r="B235" s="28" t="s">
        <v>22</v>
      </c>
      <c r="C235" s="182">
        <v>-8792.9359999999997</v>
      </c>
      <c r="D235" s="182">
        <v>-37684.781000000003</v>
      </c>
      <c r="E235" s="73">
        <f>SUM(D235-C235)</f>
        <v>-28891.845000000001</v>
      </c>
      <c r="F235" s="151" t="s">
        <v>405</v>
      </c>
      <c r="G235" s="182">
        <v>9381.2929999999997</v>
      </c>
      <c r="H235" s="182">
        <v>-29345.633000000002</v>
      </c>
      <c r="I235" s="73">
        <f>SUM(H235-G235)</f>
        <v>-38726.925999999999</v>
      </c>
      <c r="J235" s="158">
        <f>SUM(H235/G235*100)</f>
        <v>-312.81011050395722</v>
      </c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</row>
    <row r="236" spans="1:90">
      <c r="A236" s="74">
        <v>208000</v>
      </c>
      <c r="B236" s="28" t="s">
        <v>23</v>
      </c>
      <c r="C236" s="182">
        <v>-1170824.456</v>
      </c>
      <c r="D236" s="182">
        <v>-858654.321</v>
      </c>
      <c r="E236" s="73">
        <f>SUM(D236-C236)</f>
        <v>312170.13500000001</v>
      </c>
      <c r="F236" s="158">
        <f>SUM(D236/C236*100)</f>
        <v>73.337579907879885</v>
      </c>
      <c r="G236" s="182">
        <v>292471.30200000003</v>
      </c>
      <c r="H236" s="182">
        <v>310489.48499999999</v>
      </c>
      <c r="I236" s="73">
        <f>SUM(H236-G236)</f>
        <v>18018.182999999961</v>
      </c>
      <c r="J236" s="158">
        <f>SUM(H236/G236*100)</f>
        <v>106.1606670045186</v>
      </c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</row>
    <row r="237" spans="1:90">
      <c r="A237" s="74">
        <v>300000</v>
      </c>
      <c r="B237" s="28" t="s">
        <v>355</v>
      </c>
      <c r="C237" s="182"/>
      <c r="D237" s="182"/>
      <c r="E237" s="73"/>
      <c r="F237" s="158"/>
      <c r="G237" s="182">
        <v>-1809.0409999999999</v>
      </c>
      <c r="H237" s="182">
        <v>-1990.2619999999999</v>
      </c>
      <c r="I237" s="73">
        <f>SUM(H237-G237)</f>
        <v>-181.221</v>
      </c>
      <c r="J237" s="158">
        <f>SUM(H237/G237*100)</f>
        <v>110.01751756870077</v>
      </c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</row>
    <row r="238" spans="1:90" ht="20.25">
      <c r="A238" s="87">
        <v>900230</v>
      </c>
      <c r="B238" s="68" t="s">
        <v>24</v>
      </c>
      <c r="C238" s="172">
        <f>-C233</f>
        <v>-1179617.392</v>
      </c>
      <c r="D238" s="172">
        <f>-D233</f>
        <v>-896339.10199999996</v>
      </c>
      <c r="E238" s="70">
        <f>SUM(D238-C238)</f>
        <v>283278.29000000004</v>
      </c>
      <c r="F238" s="156">
        <f>SUM(D238/C238*100)</f>
        <v>75.985578720595868</v>
      </c>
      <c r="G238" s="172">
        <f>-G233</f>
        <v>300043.554</v>
      </c>
      <c r="H238" s="172">
        <f>-H233</f>
        <v>279153.58999999997</v>
      </c>
      <c r="I238" s="70">
        <f>SUM(H238-G238)</f>
        <v>-20889.964000000036</v>
      </c>
      <c r="J238" s="159">
        <f>SUM(H238/G238*100)</f>
        <v>93.037689454911586</v>
      </c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</row>
    <row r="239" spans="1:90" ht="20.25">
      <c r="A239" s="183" t="s">
        <v>304</v>
      </c>
      <c r="B239" s="183"/>
      <c r="C239" s="183"/>
      <c r="D239" s="183"/>
      <c r="E239" s="183"/>
      <c r="F239" s="183"/>
      <c r="G239" s="183"/>
      <c r="H239" s="183"/>
      <c r="I239" s="183"/>
      <c r="J239" s="183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</row>
    <row r="240" spans="1:90" ht="66.75" customHeight="1">
      <c r="A240" s="63" t="s">
        <v>2</v>
      </c>
      <c r="B240" s="64" t="s">
        <v>26</v>
      </c>
      <c r="C240" s="16" t="s">
        <v>336</v>
      </c>
      <c r="D240" s="16" t="s">
        <v>337</v>
      </c>
      <c r="E240" s="65" t="s">
        <v>28</v>
      </c>
      <c r="F240" s="66" t="s">
        <v>29</v>
      </c>
      <c r="G240" s="16" t="s">
        <v>336</v>
      </c>
      <c r="H240" s="16" t="s">
        <v>337</v>
      </c>
      <c r="I240" s="65" t="s">
        <v>28</v>
      </c>
      <c r="J240" s="66" t="s">
        <v>29</v>
      </c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</row>
    <row r="241" spans="1:90" ht="20.25">
      <c r="A241" s="67">
        <v>400000</v>
      </c>
      <c r="B241" s="68" t="s">
        <v>25</v>
      </c>
      <c r="C241" s="69">
        <v>81646.316999999995</v>
      </c>
      <c r="D241" s="69">
        <v>81646.316999999995</v>
      </c>
      <c r="E241" s="70">
        <f>SUM(D241-C241)</f>
        <v>0</v>
      </c>
      <c r="F241" s="71">
        <f>SUM(D241/C241*100)</f>
        <v>100</v>
      </c>
      <c r="G241" s="72"/>
      <c r="H241" s="72"/>
      <c r="I241" s="73"/>
      <c r="J241" s="71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</row>
    <row r="242" spans="1:90" ht="37.5">
      <c r="A242" s="74">
        <v>420000</v>
      </c>
      <c r="B242" s="75" t="s">
        <v>27</v>
      </c>
      <c r="C242" s="34">
        <v>81646.316999999995</v>
      </c>
      <c r="D242" s="34">
        <v>81646.316999999995</v>
      </c>
      <c r="E242" s="73">
        <f>SUM(D242-C242)</f>
        <v>0</v>
      </c>
      <c r="F242" s="71">
        <f>SUM(D242/C242*100)</f>
        <v>100</v>
      </c>
      <c r="G242" s="76"/>
      <c r="H242" s="76"/>
      <c r="I242" s="73"/>
      <c r="J242" s="71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</row>
    <row r="243" spans="1:90" ht="20.25">
      <c r="A243" s="67">
        <v>500000</v>
      </c>
      <c r="B243" s="68" t="s">
        <v>290</v>
      </c>
      <c r="C243" s="69">
        <f>SUM(C244)</f>
        <v>12685.675999999999</v>
      </c>
      <c r="D243" s="69">
        <f>SUM(D244)</f>
        <v>9820.9889999999996</v>
      </c>
      <c r="E243" s="70">
        <f>SUM(D243-C243)</f>
        <v>-2864.6869999999999</v>
      </c>
      <c r="F243" s="71">
        <f>SUM(D243/C243*100)</f>
        <v>77.417939729818102</v>
      </c>
      <c r="G243" s="72"/>
      <c r="H243" s="72"/>
      <c r="I243" s="73"/>
      <c r="J243" s="71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</row>
    <row r="244" spans="1:90" ht="41.65" customHeight="1">
      <c r="A244" s="77">
        <v>510000</v>
      </c>
      <c r="B244" s="50" t="s">
        <v>291</v>
      </c>
      <c r="C244" s="78">
        <v>12685.675999999999</v>
      </c>
      <c r="D244" s="34">
        <v>9820.9889999999996</v>
      </c>
      <c r="E244" s="73">
        <f>SUM(D244-C244)</f>
        <v>-2864.6869999999999</v>
      </c>
      <c r="F244" s="71">
        <f>SUM(D244/C244*100)</f>
        <v>77.417939729818102</v>
      </c>
      <c r="G244" s="76"/>
      <c r="H244" s="76"/>
      <c r="I244" s="73"/>
      <c r="J244" s="71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</row>
    <row r="245" spans="1:90" ht="20.25">
      <c r="A245" s="79"/>
      <c r="B245" s="68" t="s">
        <v>289</v>
      </c>
      <c r="C245" s="80">
        <f>SUM(C241)+C243</f>
        <v>94331.992999999988</v>
      </c>
      <c r="D245" s="80">
        <f>SUM(D241)+D243</f>
        <v>91467.305999999997</v>
      </c>
      <c r="E245" s="70">
        <f>SUM(D245-C245)</f>
        <v>-2864.6869999999908</v>
      </c>
      <c r="F245" s="71">
        <f>SUM(D245/C245*100)</f>
        <v>96.963186180111776</v>
      </c>
      <c r="G245" s="81"/>
      <c r="H245" s="81"/>
      <c r="I245" s="81"/>
      <c r="J245" s="82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</row>
    <row r="246" spans="1:90">
      <c r="A246" s="10"/>
      <c r="B246" s="11"/>
      <c r="C246" s="12"/>
      <c r="D246" s="12"/>
      <c r="E246" s="13"/>
      <c r="F246" s="14"/>
      <c r="G246" s="12"/>
      <c r="H246" s="12"/>
      <c r="I246" s="12"/>
      <c r="J246" s="26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</row>
    <row r="247" spans="1:90">
      <c r="A247" s="10"/>
      <c r="B247" s="11"/>
      <c r="C247" s="12"/>
      <c r="D247" s="12"/>
      <c r="E247" s="13"/>
      <c r="F247" s="14"/>
      <c r="G247" s="12"/>
      <c r="H247" s="12"/>
      <c r="I247" s="12"/>
      <c r="J247" s="26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</row>
    <row r="248" spans="1:90">
      <c r="A248" s="10"/>
      <c r="B248" s="11"/>
      <c r="C248" s="12"/>
      <c r="D248" s="12"/>
      <c r="E248" s="13"/>
      <c r="F248" s="14"/>
      <c r="G248" s="12"/>
      <c r="H248" s="12"/>
      <c r="I248" s="12"/>
      <c r="J248" s="26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</row>
    <row r="249" spans="1:90">
      <c r="A249" s="10"/>
      <c r="B249" s="11"/>
      <c r="C249" s="12"/>
      <c r="D249" s="12"/>
      <c r="E249" s="13"/>
      <c r="F249" s="14"/>
      <c r="G249" s="12"/>
      <c r="H249" s="12"/>
      <c r="I249" s="12"/>
      <c r="J249" s="26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</row>
    <row r="250" spans="1:90">
      <c r="A250" s="10"/>
      <c r="B250" s="11"/>
      <c r="C250" s="12"/>
      <c r="D250" s="12"/>
      <c r="E250" s="13"/>
      <c r="F250" s="14"/>
      <c r="G250" s="12"/>
      <c r="H250" s="12"/>
      <c r="I250" s="12"/>
      <c r="J250" s="26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</row>
    <row r="251" spans="1:90">
      <c r="A251" s="10"/>
      <c r="B251" s="11"/>
      <c r="C251" s="12"/>
      <c r="D251" s="12"/>
      <c r="E251" s="13"/>
      <c r="F251" s="14"/>
      <c r="G251" s="12"/>
      <c r="H251" s="12"/>
      <c r="I251" s="12"/>
      <c r="J251" s="26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</row>
    <row r="252" spans="1:90">
      <c r="A252" s="10"/>
      <c r="B252" s="11"/>
      <c r="C252" s="12"/>
      <c r="D252" s="12"/>
      <c r="E252" s="13"/>
      <c r="F252" s="14"/>
      <c r="G252" s="12"/>
      <c r="H252" s="12"/>
      <c r="I252" s="12"/>
      <c r="J252" s="26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</row>
    <row r="253" spans="1:90">
      <c r="A253" s="10"/>
      <c r="B253" s="11"/>
      <c r="C253" s="12"/>
      <c r="D253" s="12"/>
      <c r="E253" s="13"/>
      <c r="F253" s="14"/>
      <c r="G253" s="12"/>
      <c r="H253" s="12"/>
      <c r="I253" s="12"/>
      <c r="J253" s="26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</row>
    <row r="254" spans="1:90">
      <c r="A254" s="10"/>
      <c r="B254" s="11"/>
      <c r="C254" s="12"/>
      <c r="D254" s="12"/>
      <c r="E254" s="13"/>
      <c r="F254" s="14"/>
      <c r="G254" s="12"/>
      <c r="H254" s="12"/>
      <c r="I254" s="12"/>
      <c r="J254" s="26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</row>
    <row r="255" spans="1:90">
      <c r="A255" s="10"/>
      <c r="B255" s="11"/>
      <c r="C255" s="12"/>
      <c r="D255" s="12"/>
      <c r="E255" s="13"/>
      <c r="F255" s="14"/>
      <c r="G255" s="12"/>
      <c r="H255" s="12"/>
      <c r="I255" s="12"/>
      <c r="J255" s="26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</row>
    <row r="256" spans="1:90">
      <c r="A256" s="10"/>
      <c r="B256" s="11"/>
      <c r="C256" s="12"/>
      <c r="D256" s="12"/>
      <c r="E256" s="13"/>
      <c r="F256" s="14"/>
      <c r="G256" s="12"/>
      <c r="H256" s="12"/>
      <c r="I256" s="12"/>
      <c r="J256" s="26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</row>
    <row r="257" spans="1:90">
      <c r="A257" s="10"/>
      <c r="B257" s="11"/>
      <c r="C257" s="12"/>
      <c r="D257" s="12"/>
      <c r="E257" s="13"/>
      <c r="F257" s="14"/>
      <c r="G257" s="12"/>
      <c r="H257" s="12"/>
      <c r="I257" s="12"/>
      <c r="J257" s="26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</row>
    <row r="258" spans="1:90">
      <c r="A258" s="10"/>
      <c r="B258" s="11"/>
      <c r="C258" s="12"/>
      <c r="D258" s="12"/>
      <c r="E258" s="13"/>
      <c r="F258" s="14"/>
      <c r="G258" s="12"/>
      <c r="H258" s="12"/>
      <c r="I258" s="12"/>
      <c r="J258" s="26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</row>
    <row r="259" spans="1:90">
      <c r="A259" s="10"/>
      <c r="B259" s="11"/>
      <c r="C259" s="12"/>
      <c r="D259" s="12"/>
      <c r="E259" s="13"/>
      <c r="F259" s="14"/>
      <c r="G259" s="12"/>
      <c r="H259" s="12"/>
      <c r="I259" s="12"/>
      <c r="J259" s="26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</row>
    <row r="260" spans="1:90">
      <c r="A260" s="10"/>
      <c r="B260" s="11"/>
      <c r="C260" s="12"/>
      <c r="D260" s="12"/>
      <c r="E260" s="13"/>
      <c r="F260" s="14"/>
      <c r="G260" s="12"/>
      <c r="H260" s="12"/>
      <c r="I260" s="12"/>
      <c r="J260" s="26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</row>
    <row r="261" spans="1:90">
      <c r="A261" s="10"/>
      <c r="B261" s="11"/>
      <c r="C261" s="12"/>
      <c r="D261" s="12"/>
      <c r="E261" s="13"/>
      <c r="F261" s="14"/>
      <c r="G261" s="12"/>
      <c r="H261" s="12"/>
      <c r="I261" s="12"/>
      <c r="J261" s="26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</row>
    <row r="262" spans="1:90">
      <c r="A262" s="10"/>
      <c r="B262" s="11"/>
      <c r="C262" s="12"/>
      <c r="D262" s="12"/>
      <c r="E262" s="13"/>
      <c r="F262" s="14"/>
      <c r="G262" s="12"/>
      <c r="H262" s="12"/>
      <c r="I262" s="12"/>
      <c r="J262" s="26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</row>
    <row r="263" spans="1:90">
      <c r="A263" s="10"/>
      <c r="B263" s="11"/>
      <c r="C263" s="12"/>
      <c r="D263" s="12"/>
      <c r="E263" s="13"/>
      <c r="F263" s="14"/>
      <c r="G263" s="12"/>
      <c r="H263" s="12"/>
      <c r="I263" s="12"/>
      <c r="J263" s="26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</row>
    <row r="264" spans="1:90">
      <c r="A264" s="10"/>
      <c r="B264" s="11"/>
      <c r="C264" s="12"/>
      <c r="D264" s="12"/>
      <c r="E264" s="13"/>
      <c r="F264" s="14"/>
      <c r="G264" s="12"/>
      <c r="H264" s="12"/>
      <c r="I264" s="12"/>
      <c r="J264" s="26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</row>
    <row r="265" spans="1:90">
      <c r="A265" s="10"/>
      <c r="B265" s="11"/>
      <c r="C265" s="12"/>
      <c r="D265" s="12"/>
      <c r="E265" s="13"/>
      <c r="F265" s="14"/>
      <c r="G265" s="12"/>
      <c r="H265" s="12"/>
      <c r="I265" s="12"/>
      <c r="J265" s="26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</row>
    <row r="266" spans="1:90">
      <c r="A266" s="10"/>
      <c r="B266" s="11"/>
      <c r="C266" s="12"/>
      <c r="D266" s="12"/>
      <c r="E266" s="13"/>
      <c r="F266" s="14"/>
      <c r="G266" s="12"/>
      <c r="H266" s="12"/>
      <c r="I266" s="12"/>
      <c r="J266" s="26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</row>
    <row r="267" spans="1:90">
      <c r="A267" s="10"/>
      <c r="B267" s="11"/>
      <c r="C267" s="12"/>
      <c r="D267" s="12"/>
      <c r="E267" s="13"/>
      <c r="F267" s="14"/>
      <c r="G267" s="12"/>
      <c r="H267" s="12"/>
      <c r="I267" s="12"/>
      <c r="J267" s="26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</row>
    <row r="268" spans="1:90">
      <c r="A268" s="10"/>
      <c r="B268" s="11"/>
      <c r="C268" s="12"/>
      <c r="D268" s="12"/>
      <c r="E268" s="13"/>
      <c r="F268" s="14"/>
      <c r="G268" s="12"/>
      <c r="H268" s="12"/>
      <c r="I268" s="12"/>
      <c r="J268" s="26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</row>
    <row r="269" spans="1:90">
      <c r="A269" s="10"/>
      <c r="B269" s="11"/>
      <c r="C269" s="12"/>
      <c r="D269" s="12"/>
      <c r="E269" s="13"/>
      <c r="F269" s="14"/>
      <c r="G269" s="12"/>
      <c r="H269" s="12"/>
      <c r="I269" s="12"/>
      <c r="J269" s="26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</row>
    <row r="270" spans="1:90">
      <c r="A270" s="10"/>
      <c r="B270" s="11"/>
      <c r="C270" s="12"/>
      <c r="D270" s="12"/>
      <c r="E270" s="13"/>
      <c r="F270" s="14"/>
      <c r="G270" s="12"/>
      <c r="H270" s="12"/>
      <c r="I270" s="12"/>
      <c r="J270" s="26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</row>
    <row r="271" spans="1:90">
      <c r="A271" s="10"/>
      <c r="B271" s="11"/>
      <c r="C271" s="12"/>
      <c r="D271" s="12"/>
      <c r="E271" s="13"/>
      <c r="F271" s="14"/>
      <c r="G271" s="12"/>
      <c r="H271" s="12"/>
      <c r="I271" s="12"/>
      <c r="J271" s="26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</row>
    <row r="272" spans="1:90">
      <c r="A272" s="10"/>
      <c r="B272" s="11"/>
      <c r="C272" s="12"/>
      <c r="D272" s="12"/>
      <c r="E272" s="13"/>
      <c r="F272" s="14"/>
      <c r="G272" s="12"/>
      <c r="H272" s="12"/>
      <c r="I272" s="12"/>
      <c r="J272" s="26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</row>
    <row r="273" spans="1:59">
      <c r="A273" s="10"/>
      <c r="B273" s="11"/>
      <c r="C273" s="12"/>
      <c r="D273" s="12"/>
      <c r="E273" s="13"/>
      <c r="F273" s="14"/>
      <c r="G273" s="12"/>
      <c r="H273" s="12"/>
      <c r="I273" s="12"/>
      <c r="J273" s="26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</row>
    <row r="274" spans="1:59">
      <c r="A274" s="10"/>
      <c r="B274" s="11"/>
      <c r="C274" s="12"/>
      <c r="D274" s="12"/>
      <c r="E274" s="13"/>
      <c r="F274" s="14"/>
      <c r="G274" s="12"/>
      <c r="H274" s="12"/>
      <c r="I274" s="12"/>
      <c r="J274" s="26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</row>
    <row r="275" spans="1:59">
      <c r="A275" s="10"/>
      <c r="B275" s="11"/>
      <c r="C275" s="12"/>
      <c r="D275" s="12"/>
      <c r="E275" s="13"/>
      <c r="F275" s="14"/>
      <c r="G275" s="12"/>
      <c r="H275" s="12"/>
      <c r="I275" s="12"/>
      <c r="J275" s="26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</row>
    <row r="276" spans="1:59">
      <c r="A276" s="10"/>
      <c r="B276" s="11"/>
      <c r="C276" s="12"/>
      <c r="D276" s="12"/>
      <c r="E276" s="13"/>
      <c r="F276" s="14"/>
      <c r="G276" s="12"/>
      <c r="H276" s="12"/>
      <c r="I276" s="12"/>
      <c r="J276" s="26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</row>
    <row r="277" spans="1:59">
      <c r="A277" s="10"/>
      <c r="B277" s="11"/>
      <c r="C277" s="12"/>
      <c r="D277" s="12"/>
      <c r="E277" s="13"/>
      <c r="F277" s="14"/>
      <c r="G277" s="12"/>
      <c r="H277" s="12"/>
      <c r="I277" s="12"/>
      <c r="J277" s="26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</row>
    <row r="278" spans="1:59">
      <c r="A278" s="10"/>
      <c r="B278" s="11"/>
      <c r="C278" s="12"/>
      <c r="D278" s="12"/>
      <c r="E278" s="13"/>
      <c r="F278" s="14"/>
      <c r="G278" s="12"/>
      <c r="H278" s="12"/>
      <c r="I278" s="12"/>
      <c r="J278" s="26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</row>
    <row r="279" spans="1:59">
      <c r="A279" s="10"/>
      <c r="B279" s="11"/>
      <c r="C279" s="12"/>
      <c r="D279" s="12"/>
      <c r="E279" s="13"/>
      <c r="F279" s="14"/>
      <c r="G279" s="12"/>
      <c r="H279" s="12"/>
      <c r="I279" s="12"/>
      <c r="J279" s="26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</row>
    <row r="280" spans="1:59">
      <c r="A280" s="10"/>
      <c r="B280" s="11"/>
      <c r="C280" s="12"/>
      <c r="D280" s="12"/>
      <c r="E280" s="13"/>
      <c r="F280" s="14"/>
      <c r="G280" s="12"/>
      <c r="H280" s="12"/>
      <c r="I280" s="12"/>
      <c r="J280" s="26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</row>
    <row r="281" spans="1:59">
      <c r="A281" s="10"/>
      <c r="B281" s="11"/>
      <c r="C281" s="12"/>
      <c r="D281" s="12"/>
      <c r="E281" s="13"/>
      <c r="F281" s="14"/>
      <c r="G281" s="12"/>
      <c r="H281" s="12"/>
      <c r="I281" s="12"/>
      <c r="J281" s="26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</row>
    <row r="282" spans="1:59">
      <c r="A282" s="10"/>
      <c r="B282" s="11"/>
      <c r="C282" s="12"/>
      <c r="D282" s="12"/>
      <c r="E282" s="13"/>
      <c r="F282" s="14"/>
      <c r="G282" s="12"/>
      <c r="H282" s="12"/>
      <c r="I282" s="12"/>
      <c r="J282" s="26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</row>
    <row r="283" spans="1:59">
      <c r="A283" s="10"/>
      <c r="B283" s="11"/>
      <c r="C283" s="12"/>
      <c r="D283" s="12"/>
      <c r="E283" s="13"/>
      <c r="F283" s="14"/>
      <c r="G283" s="12"/>
      <c r="H283" s="12"/>
      <c r="I283" s="12"/>
      <c r="J283" s="26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</row>
    <row r="284" spans="1:59">
      <c r="A284" s="10"/>
      <c r="B284" s="11"/>
      <c r="C284" s="12"/>
      <c r="D284" s="12"/>
      <c r="E284" s="13"/>
      <c r="F284" s="14"/>
      <c r="G284" s="12"/>
      <c r="H284" s="12"/>
      <c r="I284" s="12"/>
      <c r="J284" s="26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</row>
    <row r="285" spans="1:59">
      <c r="A285" s="10"/>
      <c r="B285" s="11"/>
      <c r="C285" s="12"/>
      <c r="D285" s="12"/>
      <c r="E285" s="13"/>
      <c r="F285" s="14"/>
      <c r="G285" s="12"/>
      <c r="H285" s="12"/>
      <c r="I285" s="12"/>
      <c r="J285" s="26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</row>
    <row r="286" spans="1:59">
      <c r="A286" s="10"/>
      <c r="B286" s="11"/>
      <c r="C286" s="12"/>
      <c r="D286" s="12"/>
      <c r="E286" s="13"/>
      <c r="F286" s="14"/>
      <c r="G286" s="12"/>
      <c r="H286" s="12"/>
      <c r="I286" s="12"/>
      <c r="J286" s="26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</row>
    <row r="287" spans="1:59">
      <c r="A287" s="10"/>
      <c r="B287" s="11"/>
      <c r="C287" s="12"/>
      <c r="D287" s="12"/>
      <c r="E287" s="13"/>
      <c r="F287" s="14"/>
      <c r="G287" s="12"/>
      <c r="H287" s="12"/>
      <c r="I287" s="12"/>
      <c r="J287" s="26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</row>
    <row r="288" spans="1:59">
      <c r="A288" s="10"/>
      <c r="B288" s="11"/>
      <c r="C288" s="12"/>
      <c r="D288" s="12"/>
      <c r="E288" s="13"/>
      <c r="F288" s="14"/>
      <c r="G288" s="12"/>
      <c r="H288" s="12"/>
      <c r="I288" s="12"/>
      <c r="J288" s="26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</row>
    <row r="289" spans="1:59">
      <c r="A289" s="10"/>
      <c r="B289" s="11"/>
      <c r="C289" s="12"/>
      <c r="D289" s="12"/>
      <c r="E289" s="13"/>
      <c r="F289" s="14"/>
      <c r="G289" s="12"/>
      <c r="H289" s="12"/>
      <c r="I289" s="12"/>
      <c r="J289" s="26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</row>
    <row r="290" spans="1:59">
      <c r="A290" s="10"/>
      <c r="B290" s="11"/>
      <c r="C290" s="12"/>
      <c r="D290" s="12"/>
      <c r="E290" s="13"/>
      <c r="F290" s="14"/>
      <c r="G290" s="12"/>
      <c r="H290" s="12"/>
      <c r="I290" s="12"/>
      <c r="J290" s="26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</row>
    <row r="291" spans="1:59">
      <c r="A291" s="10"/>
      <c r="B291" s="11"/>
      <c r="C291" s="12"/>
      <c r="D291" s="12"/>
      <c r="E291" s="13"/>
      <c r="F291" s="14"/>
      <c r="G291" s="12"/>
      <c r="H291" s="12"/>
      <c r="I291" s="12"/>
      <c r="J291" s="26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</row>
    <row r="292" spans="1:59">
      <c r="A292" s="10"/>
      <c r="B292" s="11"/>
      <c r="C292" s="12"/>
      <c r="D292" s="12"/>
      <c r="E292" s="13"/>
      <c r="F292" s="14"/>
      <c r="G292" s="12"/>
      <c r="H292" s="12"/>
      <c r="I292" s="12"/>
      <c r="J292" s="26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</row>
    <row r="293" spans="1:59">
      <c r="A293" s="10"/>
      <c r="B293" s="11"/>
      <c r="C293" s="12"/>
      <c r="D293" s="12"/>
      <c r="E293" s="13"/>
      <c r="F293" s="14"/>
      <c r="G293" s="12"/>
      <c r="H293" s="12"/>
      <c r="I293" s="12"/>
      <c r="J293" s="26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</row>
    <row r="294" spans="1:59">
      <c r="A294" s="10"/>
      <c r="B294" s="11"/>
      <c r="C294" s="12"/>
      <c r="D294" s="12"/>
      <c r="E294" s="13"/>
      <c r="F294" s="14"/>
      <c r="G294" s="12"/>
      <c r="H294" s="12"/>
      <c r="I294" s="12"/>
      <c r="J294" s="26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</row>
    <row r="295" spans="1:59">
      <c r="A295" s="10"/>
      <c r="B295" s="11"/>
      <c r="C295" s="12"/>
      <c r="D295" s="12"/>
      <c r="E295" s="13"/>
      <c r="F295" s="14"/>
      <c r="G295" s="12"/>
      <c r="H295" s="12"/>
      <c r="I295" s="12"/>
      <c r="J295" s="26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</row>
    <row r="296" spans="1:59">
      <c r="A296" s="10"/>
      <c r="B296" s="11"/>
      <c r="C296" s="12"/>
      <c r="D296" s="12"/>
      <c r="E296" s="13"/>
      <c r="F296" s="14"/>
      <c r="G296" s="12"/>
      <c r="H296" s="12"/>
      <c r="I296" s="12"/>
      <c r="J296" s="26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</row>
    <row r="297" spans="1:59">
      <c r="A297" s="10"/>
      <c r="B297" s="11"/>
      <c r="C297" s="12"/>
      <c r="D297" s="12"/>
      <c r="E297" s="13"/>
      <c r="F297" s="14"/>
      <c r="G297" s="12"/>
      <c r="H297" s="12"/>
      <c r="I297" s="12"/>
      <c r="J297" s="26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</row>
    <row r="298" spans="1:59">
      <c r="A298" s="10"/>
      <c r="B298" s="11"/>
      <c r="C298" s="12"/>
      <c r="D298" s="12"/>
      <c r="E298" s="13"/>
      <c r="F298" s="14"/>
      <c r="G298" s="12"/>
      <c r="H298" s="12"/>
      <c r="I298" s="12"/>
      <c r="J298" s="26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</row>
    <row r="299" spans="1:59">
      <c r="A299" s="10"/>
      <c r="B299" s="11"/>
      <c r="C299" s="12"/>
      <c r="D299" s="12"/>
      <c r="E299" s="13"/>
      <c r="F299" s="14"/>
      <c r="G299" s="12"/>
      <c r="H299" s="12"/>
      <c r="I299" s="12"/>
      <c r="J299" s="26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</row>
    <row r="300" spans="1:59">
      <c r="A300" s="10"/>
      <c r="B300" s="11"/>
      <c r="C300" s="12"/>
      <c r="D300" s="12"/>
      <c r="E300" s="13"/>
      <c r="F300" s="14"/>
      <c r="G300" s="12"/>
      <c r="H300" s="12"/>
      <c r="I300" s="12"/>
      <c r="J300" s="26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</row>
    <row r="301" spans="1:59">
      <c r="A301" s="10"/>
      <c r="B301" s="11"/>
      <c r="C301" s="12"/>
      <c r="D301" s="12"/>
      <c r="E301" s="13"/>
      <c r="F301" s="14"/>
      <c r="G301" s="12"/>
      <c r="H301" s="12"/>
      <c r="I301" s="12"/>
      <c r="J301" s="26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</row>
    <row r="302" spans="1:59">
      <c r="A302" s="10"/>
      <c r="B302" s="11"/>
      <c r="C302" s="12"/>
      <c r="D302" s="12"/>
      <c r="E302" s="13"/>
      <c r="F302" s="14"/>
      <c r="G302" s="12"/>
      <c r="H302" s="12"/>
      <c r="I302" s="12"/>
      <c r="J302" s="26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</row>
    <row r="303" spans="1:59">
      <c r="A303" s="10"/>
      <c r="B303" s="11"/>
      <c r="C303" s="12"/>
      <c r="D303" s="12"/>
      <c r="E303" s="13"/>
      <c r="F303" s="14"/>
      <c r="G303" s="12"/>
      <c r="H303" s="12"/>
      <c r="I303" s="12"/>
      <c r="J303" s="26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</row>
    <row r="304" spans="1:59">
      <c r="A304" s="10"/>
      <c r="B304" s="11"/>
      <c r="C304" s="12"/>
      <c r="D304" s="12"/>
      <c r="E304" s="13"/>
      <c r="F304" s="14"/>
      <c r="G304" s="12"/>
      <c r="H304" s="12"/>
      <c r="I304" s="12"/>
      <c r="J304" s="26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</row>
    <row r="305" spans="1:59">
      <c r="A305" s="10"/>
      <c r="B305" s="11"/>
      <c r="C305" s="12"/>
      <c r="D305" s="12"/>
      <c r="E305" s="13"/>
      <c r="F305" s="14"/>
      <c r="G305" s="12"/>
      <c r="H305" s="12"/>
      <c r="I305" s="12"/>
      <c r="J305" s="26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</row>
    <row r="306" spans="1:59">
      <c r="A306" s="10"/>
      <c r="B306" s="11"/>
      <c r="C306" s="12"/>
      <c r="D306" s="12"/>
      <c r="E306" s="13"/>
      <c r="F306" s="14"/>
      <c r="G306" s="12"/>
      <c r="H306" s="12"/>
      <c r="I306" s="12"/>
      <c r="J306" s="26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</row>
    <row r="307" spans="1:59">
      <c r="A307" s="10"/>
      <c r="B307" s="11"/>
      <c r="C307" s="12"/>
      <c r="D307" s="12"/>
      <c r="E307" s="13"/>
      <c r="F307" s="14"/>
      <c r="G307" s="12"/>
      <c r="H307" s="12"/>
      <c r="I307" s="12"/>
      <c r="J307" s="26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</row>
    <row r="308" spans="1:59">
      <c r="A308" s="10"/>
      <c r="B308" s="11"/>
      <c r="C308" s="12"/>
      <c r="D308" s="12"/>
      <c r="E308" s="13"/>
      <c r="F308" s="14"/>
      <c r="G308" s="12"/>
      <c r="H308" s="12"/>
      <c r="I308" s="12"/>
      <c r="J308" s="26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</row>
    <row r="309" spans="1:59">
      <c r="A309" s="10"/>
      <c r="B309" s="11"/>
      <c r="C309" s="12"/>
      <c r="D309" s="12"/>
      <c r="E309" s="13"/>
      <c r="F309" s="14"/>
      <c r="G309" s="12"/>
      <c r="H309" s="12"/>
      <c r="I309" s="12"/>
      <c r="J309" s="26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</row>
    <row r="310" spans="1:59">
      <c r="A310" s="10"/>
      <c r="B310" s="11"/>
      <c r="C310" s="12"/>
      <c r="D310" s="12"/>
      <c r="E310" s="13"/>
      <c r="F310" s="14"/>
      <c r="G310" s="12"/>
      <c r="H310" s="12"/>
      <c r="I310" s="12"/>
      <c r="J310" s="26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</row>
    <row r="311" spans="1:59">
      <c r="A311" s="10"/>
      <c r="B311" s="11"/>
      <c r="C311" s="12"/>
      <c r="D311" s="12"/>
      <c r="E311" s="13"/>
      <c r="F311" s="14"/>
      <c r="G311" s="12"/>
      <c r="H311" s="12"/>
      <c r="I311" s="12"/>
      <c r="J311" s="26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</row>
    <row r="312" spans="1:59">
      <c r="A312" s="10"/>
      <c r="B312" s="11"/>
      <c r="C312" s="12"/>
      <c r="D312" s="12"/>
      <c r="E312" s="13"/>
      <c r="F312" s="14"/>
      <c r="G312" s="12"/>
      <c r="H312" s="12"/>
      <c r="I312" s="12"/>
      <c r="J312" s="26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</row>
    <row r="313" spans="1:59">
      <c r="A313" s="10"/>
      <c r="B313" s="11"/>
      <c r="C313" s="12"/>
      <c r="D313" s="12"/>
      <c r="E313" s="13"/>
      <c r="F313" s="14"/>
      <c r="G313" s="12"/>
      <c r="H313" s="12"/>
      <c r="I313" s="12"/>
      <c r="J313" s="26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</row>
    <row r="314" spans="1:59">
      <c r="A314" s="10"/>
      <c r="B314" s="11"/>
      <c r="C314" s="12"/>
      <c r="D314" s="12"/>
      <c r="E314" s="13"/>
      <c r="F314" s="14"/>
      <c r="G314" s="12"/>
      <c r="H314" s="12"/>
      <c r="I314" s="12"/>
      <c r="J314" s="26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</row>
    <row r="315" spans="1:59">
      <c r="A315" s="10"/>
      <c r="B315" s="11"/>
      <c r="C315" s="12"/>
      <c r="D315" s="12"/>
      <c r="E315" s="13"/>
      <c r="F315" s="14"/>
      <c r="G315" s="12"/>
      <c r="H315" s="12"/>
      <c r="I315" s="12"/>
      <c r="J315" s="26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</row>
    <row r="316" spans="1:59">
      <c r="A316" s="10"/>
      <c r="B316" s="11"/>
      <c r="C316" s="12"/>
      <c r="D316" s="12"/>
      <c r="E316" s="13"/>
      <c r="F316" s="14"/>
      <c r="G316" s="12"/>
      <c r="H316" s="12"/>
      <c r="I316" s="12"/>
      <c r="J316" s="26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</row>
    <row r="317" spans="1:59">
      <c r="A317" s="10"/>
      <c r="B317" s="11"/>
      <c r="C317" s="12"/>
      <c r="D317" s="12"/>
      <c r="E317" s="13"/>
      <c r="F317" s="14"/>
      <c r="G317" s="12"/>
      <c r="H317" s="12"/>
      <c r="I317" s="12"/>
      <c r="J317" s="26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</row>
    <row r="318" spans="1:59">
      <c r="A318" s="10"/>
      <c r="B318" s="11"/>
      <c r="C318" s="12"/>
      <c r="D318" s="12"/>
      <c r="E318" s="13"/>
      <c r="F318" s="14"/>
      <c r="G318" s="12"/>
      <c r="H318" s="12"/>
      <c r="I318" s="12"/>
      <c r="J318" s="26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</row>
    <row r="319" spans="1:59">
      <c r="A319" s="10"/>
      <c r="B319" s="11"/>
      <c r="C319" s="12"/>
      <c r="D319" s="12"/>
      <c r="E319" s="13"/>
      <c r="F319" s="14"/>
      <c r="G319" s="12"/>
      <c r="H319" s="12"/>
      <c r="I319" s="12"/>
      <c r="J319" s="26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</row>
    <row r="320" spans="1:59">
      <c r="A320" s="10"/>
      <c r="B320" s="11"/>
      <c r="C320" s="12"/>
      <c r="D320" s="12"/>
      <c r="E320" s="13"/>
      <c r="F320" s="14"/>
      <c r="G320" s="12"/>
      <c r="H320" s="12"/>
      <c r="I320" s="12"/>
      <c r="J320" s="26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>
      <c r="A321" s="10"/>
      <c r="B321" s="11"/>
      <c r="C321" s="12"/>
      <c r="D321" s="12"/>
      <c r="E321" s="13"/>
      <c r="F321" s="14"/>
      <c r="G321" s="12"/>
      <c r="H321" s="12"/>
      <c r="I321" s="12"/>
      <c r="J321" s="26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>
      <c r="A322" s="10"/>
      <c r="B322" s="11"/>
      <c r="C322" s="12"/>
      <c r="D322" s="12"/>
      <c r="E322" s="13"/>
      <c r="F322" s="14"/>
      <c r="G322" s="12"/>
      <c r="H322" s="12"/>
      <c r="I322" s="12"/>
      <c r="J322" s="26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</row>
    <row r="323" spans="1:59">
      <c r="A323" s="10"/>
      <c r="B323" s="11"/>
      <c r="C323" s="12"/>
      <c r="D323" s="12"/>
      <c r="E323" s="13"/>
      <c r="F323" s="14"/>
      <c r="G323" s="12"/>
      <c r="H323" s="12"/>
      <c r="I323" s="12"/>
      <c r="J323" s="26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</row>
    <row r="324" spans="1:59">
      <c r="A324" s="10"/>
      <c r="B324" s="11"/>
      <c r="C324" s="12"/>
      <c r="D324" s="12"/>
      <c r="E324" s="13"/>
      <c r="F324" s="14"/>
      <c r="G324" s="12"/>
      <c r="H324" s="12"/>
      <c r="I324" s="12"/>
      <c r="J324" s="26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</row>
    <row r="325" spans="1:59">
      <c r="A325" s="10"/>
      <c r="B325" s="11"/>
      <c r="C325" s="12"/>
      <c r="D325" s="12"/>
      <c r="E325" s="13"/>
      <c r="F325" s="14"/>
      <c r="G325" s="12"/>
      <c r="H325" s="12"/>
      <c r="I325" s="12"/>
      <c r="J325" s="26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</row>
    <row r="326" spans="1:59">
      <c r="A326" s="10"/>
      <c r="B326" s="11"/>
      <c r="C326" s="12"/>
      <c r="D326" s="12"/>
      <c r="E326" s="13"/>
      <c r="F326" s="14"/>
      <c r="G326" s="12"/>
      <c r="H326" s="12"/>
      <c r="I326" s="12"/>
      <c r="J326" s="26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</row>
    <row r="327" spans="1:59">
      <c r="A327" s="10"/>
      <c r="B327" s="11"/>
      <c r="C327" s="12"/>
      <c r="D327" s="12"/>
      <c r="E327" s="13"/>
      <c r="F327" s="14"/>
      <c r="G327" s="12"/>
      <c r="H327" s="12"/>
      <c r="I327" s="12"/>
      <c r="J327" s="26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</row>
    <row r="328" spans="1:59">
      <c r="A328" s="10"/>
      <c r="B328" s="11"/>
      <c r="C328" s="12"/>
      <c r="D328" s="12"/>
      <c r="E328" s="13"/>
      <c r="F328" s="14"/>
      <c r="G328" s="12"/>
      <c r="H328" s="12"/>
      <c r="I328" s="12"/>
      <c r="J328" s="26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</row>
    <row r="329" spans="1:59">
      <c r="A329" s="10"/>
      <c r="B329" s="11"/>
      <c r="C329" s="12"/>
      <c r="D329" s="12"/>
      <c r="E329" s="13"/>
      <c r="F329" s="14"/>
      <c r="G329" s="12"/>
      <c r="H329" s="12"/>
      <c r="I329" s="12"/>
      <c r="J329" s="26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</row>
    <row r="330" spans="1:59">
      <c r="A330" s="10"/>
      <c r="B330" s="11"/>
      <c r="C330" s="12"/>
      <c r="D330" s="12"/>
      <c r="E330" s="13"/>
      <c r="F330" s="14"/>
      <c r="G330" s="12"/>
      <c r="H330" s="12"/>
      <c r="I330" s="12"/>
      <c r="J330" s="26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</row>
    <row r="331" spans="1:59">
      <c r="A331" s="10"/>
      <c r="B331" s="11"/>
      <c r="C331" s="12"/>
      <c r="D331" s="12"/>
      <c r="E331" s="13"/>
      <c r="F331" s="14"/>
      <c r="G331" s="12"/>
      <c r="H331" s="12"/>
      <c r="I331" s="12"/>
      <c r="J331" s="26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</row>
    <row r="332" spans="1:59">
      <c r="A332" s="10"/>
      <c r="B332" s="11"/>
      <c r="C332" s="12"/>
      <c r="D332" s="12"/>
      <c r="E332" s="13"/>
      <c r="F332" s="14"/>
      <c r="G332" s="12"/>
      <c r="H332" s="12"/>
      <c r="I332" s="12"/>
      <c r="J332" s="26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</row>
    <row r="333" spans="1:59">
      <c r="A333" s="10"/>
      <c r="B333" s="11"/>
      <c r="C333" s="12"/>
      <c r="D333" s="12"/>
      <c r="E333" s="13"/>
      <c r="F333" s="14"/>
      <c r="G333" s="12"/>
      <c r="H333" s="12"/>
      <c r="I333" s="12"/>
      <c r="J333" s="26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</row>
    <row r="334" spans="1:59">
      <c r="A334" s="10"/>
      <c r="B334" s="11"/>
      <c r="C334" s="12"/>
      <c r="D334" s="12"/>
      <c r="E334" s="13"/>
      <c r="F334" s="14"/>
      <c r="G334" s="12"/>
      <c r="H334" s="12"/>
      <c r="I334" s="12"/>
      <c r="J334" s="26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</row>
    <row r="335" spans="1:59">
      <c r="A335" s="10"/>
      <c r="B335" s="11"/>
      <c r="C335" s="12"/>
      <c r="D335" s="12"/>
      <c r="E335" s="13"/>
      <c r="F335" s="14"/>
      <c r="G335" s="12"/>
      <c r="H335" s="12"/>
      <c r="I335" s="12"/>
      <c r="J335" s="26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</row>
    <row r="336" spans="1:59">
      <c r="A336" s="10"/>
      <c r="B336" s="11"/>
      <c r="C336" s="12"/>
      <c r="D336" s="12"/>
      <c r="E336" s="13"/>
      <c r="F336" s="14"/>
      <c r="G336" s="12"/>
      <c r="H336" s="12"/>
      <c r="I336" s="12"/>
      <c r="J336" s="26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</row>
    <row r="337" spans="1:59">
      <c r="A337" s="10"/>
      <c r="B337" s="11"/>
      <c r="C337" s="12"/>
      <c r="D337" s="12"/>
      <c r="E337" s="13"/>
      <c r="F337" s="14"/>
      <c r="G337" s="12"/>
      <c r="H337" s="12"/>
      <c r="I337" s="12"/>
      <c r="J337" s="26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</row>
    <row r="338" spans="1:59">
      <c r="A338" s="10"/>
      <c r="B338" s="11"/>
      <c r="C338" s="12"/>
      <c r="D338" s="12"/>
      <c r="E338" s="13"/>
      <c r="F338" s="14"/>
      <c r="G338" s="12"/>
      <c r="H338" s="12"/>
      <c r="I338" s="12"/>
      <c r="J338" s="26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</row>
    <row r="339" spans="1:59">
      <c r="A339" s="10"/>
      <c r="B339" s="11"/>
      <c r="C339" s="12"/>
      <c r="D339" s="12"/>
      <c r="E339" s="13"/>
      <c r="F339" s="14"/>
      <c r="G339" s="12"/>
      <c r="H339" s="12"/>
      <c r="I339" s="12"/>
      <c r="J339" s="26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</row>
    <row r="340" spans="1:59">
      <c r="A340" s="10"/>
      <c r="B340" s="11"/>
      <c r="C340" s="12"/>
      <c r="D340" s="12"/>
      <c r="E340" s="13"/>
      <c r="F340" s="14"/>
      <c r="G340" s="12"/>
      <c r="H340" s="12"/>
      <c r="I340" s="12"/>
      <c r="J340" s="26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</row>
    <row r="341" spans="1:59">
      <c r="A341" s="10"/>
      <c r="B341" s="11"/>
      <c r="C341" s="12"/>
      <c r="D341" s="12"/>
      <c r="E341" s="13"/>
      <c r="F341" s="14"/>
      <c r="G341" s="12"/>
      <c r="H341" s="12"/>
      <c r="I341" s="12"/>
      <c r="J341" s="26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</row>
    <row r="342" spans="1:59">
      <c r="A342" s="10"/>
      <c r="B342" s="11"/>
      <c r="C342" s="12"/>
      <c r="D342" s="12"/>
      <c r="E342" s="13"/>
      <c r="F342" s="14"/>
      <c r="G342" s="12"/>
      <c r="H342" s="12"/>
      <c r="I342" s="12"/>
      <c r="J342" s="26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</row>
    <row r="343" spans="1:59">
      <c r="A343" s="10"/>
      <c r="B343" s="11"/>
      <c r="C343" s="12"/>
      <c r="D343" s="12"/>
      <c r="E343" s="13"/>
      <c r="F343" s="14"/>
      <c r="G343" s="12"/>
      <c r="H343" s="12"/>
      <c r="I343" s="12"/>
      <c r="J343" s="26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</row>
    <row r="344" spans="1:59">
      <c r="A344" s="10"/>
      <c r="B344" s="11"/>
      <c r="C344" s="12"/>
      <c r="D344" s="12"/>
      <c r="E344" s="13"/>
      <c r="F344" s="14"/>
      <c r="G344" s="12"/>
      <c r="H344" s="12"/>
      <c r="I344" s="12"/>
      <c r="J344" s="26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</row>
    <row r="345" spans="1:59">
      <c r="A345" s="10"/>
      <c r="B345" s="11"/>
      <c r="C345" s="12"/>
      <c r="D345" s="12"/>
      <c r="E345" s="13"/>
      <c r="F345" s="14"/>
      <c r="G345" s="12"/>
      <c r="H345" s="12"/>
      <c r="I345" s="12"/>
      <c r="J345" s="26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</row>
    <row r="346" spans="1:59">
      <c r="A346" s="10"/>
      <c r="B346" s="11"/>
      <c r="C346" s="12"/>
      <c r="D346" s="12"/>
      <c r="E346" s="13"/>
      <c r="F346" s="14"/>
      <c r="G346" s="12"/>
      <c r="H346" s="12"/>
      <c r="I346" s="12"/>
      <c r="J346" s="26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</row>
    <row r="347" spans="1:59">
      <c r="A347" s="10"/>
      <c r="B347" s="11"/>
      <c r="C347" s="12"/>
      <c r="D347" s="12"/>
      <c r="E347" s="13"/>
      <c r="F347" s="14"/>
      <c r="G347" s="12"/>
      <c r="H347" s="12"/>
      <c r="I347" s="12"/>
      <c r="J347" s="26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</row>
    <row r="348" spans="1:59">
      <c r="A348" s="10"/>
      <c r="B348" s="11"/>
      <c r="C348" s="12"/>
      <c r="D348" s="12"/>
      <c r="E348" s="13"/>
      <c r="F348" s="14"/>
      <c r="G348" s="12"/>
      <c r="H348" s="12"/>
      <c r="I348" s="12"/>
      <c r="J348" s="26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</row>
    <row r="349" spans="1:59">
      <c r="A349" s="10"/>
      <c r="B349" s="11"/>
      <c r="C349" s="12"/>
      <c r="D349" s="12"/>
      <c r="E349" s="13"/>
      <c r="F349" s="14"/>
      <c r="G349" s="12"/>
      <c r="H349" s="12"/>
      <c r="I349" s="12"/>
      <c r="J349" s="26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</row>
    <row r="350" spans="1:59">
      <c r="A350" s="10"/>
      <c r="B350" s="11"/>
      <c r="C350" s="12"/>
      <c r="D350" s="12"/>
      <c r="E350" s="13"/>
      <c r="F350" s="14"/>
      <c r="G350" s="12"/>
      <c r="H350" s="12"/>
      <c r="I350" s="12"/>
      <c r="J350" s="26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</row>
    <row r="351" spans="1:59">
      <c r="A351" s="10"/>
      <c r="B351" s="11"/>
      <c r="C351" s="12"/>
      <c r="D351" s="12"/>
      <c r="E351" s="13"/>
      <c r="F351" s="14"/>
      <c r="G351" s="12"/>
      <c r="H351" s="12"/>
      <c r="I351" s="12"/>
      <c r="J351" s="26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</row>
    <row r="352" spans="1:59">
      <c r="A352" s="10"/>
      <c r="B352" s="11"/>
      <c r="C352" s="12"/>
      <c r="D352" s="12"/>
      <c r="E352" s="13"/>
      <c r="F352" s="14"/>
      <c r="G352" s="12"/>
      <c r="H352" s="12"/>
      <c r="I352" s="12"/>
      <c r="J352" s="26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</row>
    <row r="353" spans="1:59">
      <c r="A353" s="10"/>
      <c r="B353" s="11"/>
      <c r="C353" s="12"/>
      <c r="D353" s="12"/>
      <c r="E353" s="13"/>
      <c r="F353" s="14"/>
      <c r="G353" s="12"/>
      <c r="H353" s="12"/>
      <c r="I353" s="12"/>
      <c r="J353" s="26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</row>
    <row r="354" spans="1:59">
      <c r="A354" s="10"/>
      <c r="B354" s="11"/>
      <c r="C354" s="12"/>
      <c r="D354" s="12"/>
      <c r="E354" s="13"/>
      <c r="F354" s="14"/>
      <c r="G354" s="12"/>
      <c r="H354" s="12"/>
      <c r="I354" s="12"/>
      <c r="J354" s="26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</row>
    <row r="355" spans="1:59">
      <c r="A355" s="10"/>
      <c r="B355" s="11"/>
      <c r="C355" s="12"/>
      <c r="D355" s="12"/>
      <c r="E355" s="13"/>
      <c r="F355" s="14"/>
      <c r="G355" s="12"/>
      <c r="H355" s="12"/>
      <c r="I355" s="12"/>
      <c r="J355" s="26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</row>
    <row r="356" spans="1:59">
      <c r="A356" s="10"/>
      <c r="B356" s="11"/>
      <c r="C356" s="12"/>
      <c r="D356" s="12"/>
      <c r="E356" s="13"/>
      <c r="F356" s="14"/>
      <c r="G356" s="12"/>
      <c r="H356" s="12"/>
      <c r="I356" s="12"/>
      <c r="J356" s="26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</row>
    <row r="357" spans="1:59">
      <c r="A357" s="10"/>
      <c r="B357" s="11"/>
      <c r="C357" s="12"/>
      <c r="D357" s="12"/>
      <c r="E357" s="13"/>
      <c r="F357" s="14"/>
      <c r="G357" s="12"/>
      <c r="H357" s="12"/>
      <c r="I357" s="12"/>
      <c r="J357" s="26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</row>
    <row r="358" spans="1:59">
      <c r="A358" s="10"/>
      <c r="B358" s="11"/>
      <c r="C358" s="12"/>
      <c r="D358" s="12"/>
      <c r="E358" s="13"/>
      <c r="F358" s="14"/>
      <c r="G358" s="12"/>
      <c r="H358" s="12"/>
      <c r="I358" s="12"/>
      <c r="J358" s="26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</row>
    <row r="359" spans="1:59">
      <c r="A359" s="10"/>
      <c r="B359" s="11"/>
      <c r="C359" s="12"/>
      <c r="D359" s="12"/>
      <c r="E359" s="13"/>
      <c r="F359" s="14"/>
      <c r="G359" s="12"/>
      <c r="H359" s="12"/>
      <c r="I359" s="12"/>
      <c r="J359" s="26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</row>
    <row r="360" spans="1:59">
      <c r="A360" s="10"/>
      <c r="B360" s="11"/>
      <c r="C360" s="12"/>
      <c r="D360" s="12"/>
      <c r="E360" s="13"/>
      <c r="F360" s="14"/>
      <c r="G360" s="12"/>
      <c r="H360" s="12"/>
      <c r="I360" s="12"/>
      <c r="J360" s="26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</row>
    <row r="361" spans="1:59">
      <c r="A361" s="10"/>
      <c r="B361" s="11"/>
      <c r="C361" s="12"/>
      <c r="D361" s="12"/>
      <c r="E361" s="13"/>
      <c r="F361" s="14"/>
      <c r="G361" s="12"/>
      <c r="H361" s="12"/>
      <c r="I361" s="12"/>
      <c r="J361" s="26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</row>
    <row r="362" spans="1:59">
      <c r="A362" s="10"/>
      <c r="B362" s="11"/>
      <c r="C362" s="12"/>
      <c r="D362" s="12"/>
      <c r="E362" s="13"/>
      <c r="F362" s="14"/>
      <c r="G362" s="12"/>
      <c r="H362" s="12"/>
      <c r="I362" s="12"/>
      <c r="J362" s="26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</row>
    <row r="363" spans="1:59">
      <c r="A363" s="10"/>
      <c r="B363" s="11"/>
      <c r="C363" s="12"/>
      <c r="D363" s="12"/>
      <c r="E363" s="13"/>
      <c r="F363" s="14"/>
      <c r="G363" s="12"/>
      <c r="H363" s="12"/>
      <c r="I363" s="12"/>
      <c r="J363" s="26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</row>
    <row r="364" spans="1:59">
      <c r="A364" s="10"/>
      <c r="B364" s="11"/>
      <c r="C364" s="12"/>
      <c r="D364" s="12"/>
      <c r="E364" s="13"/>
      <c r="F364" s="14"/>
      <c r="G364" s="12"/>
      <c r="H364" s="12"/>
      <c r="I364" s="12"/>
      <c r="J364" s="26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</row>
    <row r="365" spans="1:59">
      <c r="A365" s="10"/>
      <c r="B365" s="11"/>
      <c r="C365" s="12"/>
      <c r="D365" s="12"/>
      <c r="E365" s="13"/>
      <c r="F365" s="14"/>
      <c r="G365" s="12"/>
      <c r="H365" s="12"/>
      <c r="I365" s="12"/>
      <c r="J365" s="26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</row>
    <row r="366" spans="1:59">
      <c r="A366" s="10"/>
      <c r="B366" s="11"/>
      <c r="C366" s="12"/>
      <c r="D366" s="12"/>
      <c r="E366" s="13"/>
      <c r="F366" s="14"/>
      <c r="G366" s="12"/>
      <c r="H366" s="12"/>
      <c r="I366" s="12"/>
      <c r="J366" s="26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</row>
    <row r="367" spans="1:59">
      <c r="A367" s="10"/>
      <c r="B367" s="11"/>
      <c r="C367" s="12"/>
      <c r="D367" s="12"/>
      <c r="E367" s="13"/>
      <c r="F367" s="14"/>
      <c r="G367" s="12"/>
      <c r="H367" s="12"/>
      <c r="I367" s="12"/>
      <c r="J367" s="26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</row>
    <row r="368" spans="1:59">
      <c r="A368" s="10"/>
      <c r="B368" s="11"/>
      <c r="C368" s="12"/>
      <c r="D368" s="12"/>
      <c r="E368" s="13"/>
      <c r="F368" s="14"/>
      <c r="G368" s="12"/>
      <c r="H368" s="12"/>
      <c r="I368" s="12"/>
      <c r="J368" s="26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</row>
    <row r="369" spans="1:59">
      <c r="A369" s="10"/>
      <c r="B369" s="11"/>
      <c r="C369" s="12"/>
      <c r="D369" s="12"/>
      <c r="E369" s="13"/>
      <c r="F369" s="14"/>
      <c r="G369" s="12"/>
      <c r="H369" s="12"/>
      <c r="I369" s="12"/>
      <c r="J369" s="26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</row>
    <row r="370" spans="1:59">
      <c r="A370" s="10"/>
      <c r="B370" s="11"/>
      <c r="C370" s="12"/>
      <c r="D370" s="12"/>
      <c r="E370" s="13"/>
      <c r="F370" s="14"/>
      <c r="G370" s="12"/>
      <c r="H370" s="12"/>
      <c r="I370" s="12"/>
      <c r="J370" s="26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</row>
    <row r="371" spans="1:59">
      <c r="A371" s="10"/>
      <c r="B371" s="11"/>
      <c r="C371" s="12"/>
      <c r="D371" s="12"/>
      <c r="E371" s="13"/>
      <c r="F371" s="14"/>
      <c r="G371" s="12"/>
      <c r="H371" s="12"/>
      <c r="I371" s="12"/>
      <c r="J371" s="26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</row>
    <row r="372" spans="1:59">
      <c r="A372" s="10"/>
      <c r="B372" s="11"/>
      <c r="C372" s="12"/>
      <c r="D372" s="12"/>
      <c r="E372" s="13"/>
      <c r="F372" s="14"/>
      <c r="G372" s="12"/>
      <c r="H372" s="12"/>
      <c r="I372" s="12"/>
      <c r="J372" s="26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</row>
    <row r="373" spans="1:59">
      <c r="A373" s="10"/>
      <c r="B373" s="11"/>
      <c r="C373" s="12"/>
      <c r="D373" s="12"/>
      <c r="E373" s="13"/>
      <c r="F373" s="14"/>
      <c r="G373" s="12"/>
      <c r="H373" s="12"/>
      <c r="I373" s="12"/>
      <c r="J373" s="26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</row>
    <row r="374" spans="1:59">
      <c r="A374" s="10"/>
      <c r="B374" s="11"/>
      <c r="C374" s="12"/>
      <c r="D374" s="12"/>
      <c r="E374" s="13"/>
      <c r="F374" s="14"/>
      <c r="G374" s="12"/>
      <c r="H374" s="12"/>
      <c r="I374" s="12"/>
      <c r="J374" s="26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</row>
    <row r="375" spans="1:59">
      <c r="A375" s="10"/>
      <c r="B375" s="11"/>
      <c r="C375" s="12"/>
      <c r="D375" s="12"/>
      <c r="E375" s="13"/>
      <c r="F375" s="14"/>
      <c r="G375" s="12"/>
      <c r="H375" s="12"/>
      <c r="I375" s="12"/>
      <c r="J375" s="26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</row>
    <row r="376" spans="1:59">
      <c r="A376" s="10"/>
      <c r="B376" s="11"/>
      <c r="C376" s="12"/>
      <c r="D376" s="12"/>
      <c r="E376" s="13"/>
      <c r="F376" s="14"/>
      <c r="G376" s="12"/>
      <c r="H376" s="12"/>
      <c r="I376" s="12"/>
      <c r="J376" s="26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</row>
    <row r="377" spans="1:59">
      <c r="A377" s="10"/>
      <c r="B377" s="11"/>
      <c r="C377" s="12"/>
      <c r="D377" s="12"/>
      <c r="E377" s="13"/>
      <c r="F377" s="14"/>
      <c r="G377" s="12"/>
      <c r="H377" s="12"/>
      <c r="I377" s="12"/>
      <c r="J377" s="26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</row>
    <row r="378" spans="1:59">
      <c r="A378" s="10"/>
      <c r="B378" s="11"/>
      <c r="C378" s="12"/>
      <c r="D378" s="12"/>
      <c r="E378" s="13"/>
      <c r="F378" s="14"/>
      <c r="G378" s="12"/>
      <c r="H378" s="12"/>
      <c r="I378" s="12"/>
      <c r="J378" s="26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</row>
    <row r="379" spans="1:59">
      <c r="A379" s="10"/>
      <c r="B379" s="11"/>
      <c r="C379" s="12"/>
      <c r="D379" s="12"/>
      <c r="E379" s="13"/>
      <c r="F379" s="14"/>
      <c r="G379" s="12"/>
      <c r="H379" s="12"/>
      <c r="I379" s="12"/>
      <c r="J379" s="26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</row>
    <row r="380" spans="1:59">
      <c r="A380" s="10"/>
      <c r="B380" s="11"/>
      <c r="C380" s="12"/>
      <c r="D380" s="12"/>
      <c r="E380" s="13"/>
      <c r="F380" s="14"/>
      <c r="G380" s="12"/>
      <c r="H380" s="12"/>
      <c r="I380" s="12"/>
      <c r="J380" s="26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</row>
    <row r="381" spans="1:59">
      <c r="A381" s="10"/>
      <c r="B381" s="11"/>
      <c r="C381" s="12"/>
      <c r="D381" s="12"/>
      <c r="E381" s="13"/>
      <c r="F381" s="14"/>
      <c r="G381" s="12"/>
      <c r="H381" s="12"/>
      <c r="I381" s="12"/>
      <c r="J381" s="26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</row>
    <row r="382" spans="1:59">
      <c r="A382" s="10"/>
      <c r="B382" s="11"/>
      <c r="C382" s="12"/>
      <c r="D382" s="12"/>
      <c r="E382" s="13"/>
      <c r="F382" s="14"/>
      <c r="G382" s="12"/>
      <c r="H382" s="12"/>
      <c r="I382" s="12"/>
      <c r="J382" s="26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</row>
    <row r="383" spans="1:59">
      <c r="A383" s="10"/>
      <c r="B383" s="11"/>
      <c r="C383" s="12"/>
      <c r="D383" s="12"/>
      <c r="E383" s="13"/>
      <c r="F383" s="14"/>
      <c r="G383" s="12"/>
      <c r="H383" s="12"/>
      <c r="I383" s="12"/>
      <c r="J383" s="26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</row>
    <row r="384" spans="1:59">
      <c r="A384" s="10"/>
      <c r="B384" s="11"/>
      <c r="C384" s="12"/>
      <c r="D384" s="12"/>
      <c r="E384" s="13"/>
      <c r="F384" s="14"/>
      <c r="G384" s="12"/>
      <c r="H384" s="12"/>
      <c r="I384" s="12"/>
      <c r="J384" s="26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</row>
    <row r="385" spans="1:59">
      <c r="A385" s="10"/>
      <c r="B385" s="11"/>
      <c r="C385" s="12"/>
      <c r="D385" s="12"/>
      <c r="E385" s="13"/>
      <c r="F385" s="14"/>
      <c r="G385" s="12"/>
      <c r="H385" s="12"/>
      <c r="I385" s="12"/>
      <c r="J385" s="26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</row>
    <row r="386" spans="1:59">
      <c r="A386" s="10"/>
      <c r="B386" s="11"/>
      <c r="C386" s="12"/>
      <c r="D386" s="12"/>
      <c r="E386" s="13"/>
      <c r="F386" s="14"/>
      <c r="G386" s="12"/>
      <c r="H386" s="12"/>
      <c r="I386" s="12"/>
      <c r="J386" s="26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</row>
    <row r="387" spans="1:59">
      <c r="A387" s="10"/>
      <c r="B387" s="11"/>
      <c r="C387" s="12"/>
      <c r="D387" s="12"/>
      <c r="E387" s="13"/>
      <c r="F387" s="14"/>
      <c r="G387" s="12"/>
      <c r="H387" s="12"/>
      <c r="I387" s="12"/>
      <c r="J387" s="26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</row>
    <row r="388" spans="1:59">
      <c r="A388" s="10"/>
      <c r="B388" s="11"/>
      <c r="C388" s="12"/>
      <c r="D388" s="12"/>
      <c r="E388" s="13"/>
      <c r="F388" s="14"/>
      <c r="G388" s="12"/>
      <c r="H388" s="12"/>
      <c r="I388" s="12"/>
      <c r="J388" s="26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</row>
    <row r="389" spans="1:59">
      <c r="A389" s="10"/>
      <c r="B389" s="11"/>
      <c r="C389" s="12"/>
      <c r="D389" s="12"/>
      <c r="E389" s="13"/>
      <c r="F389" s="14"/>
      <c r="G389" s="12"/>
      <c r="H389" s="12"/>
      <c r="I389" s="12"/>
      <c r="J389" s="26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</row>
    <row r="390" spans="1:59">
      <c r="A390" s="10"/>
      <c r="B390" s="11"/>
      <c r="C390" s="12"/>
      <c r="D390" s="12"/>
      <c r="E390" s="13"/>
      <c r="F390" s="14"/>
      <c r="G390" s="12"/>
      <c r="H390" s="12"/>
      <c r="I390" s="12"/>
      <c r="J390" s="26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</row>
    <row r="391" spans="1:59">
      <c r="A391" s="10"/>
      <c r="B391" s="11"/>
      <c r="C391" s="12"/>
      <c r="D391" s="12"/>
      <c r="E391" s="13"/>
      <c r="F391" s="14"/>
      <c r="G391" s="12"/>
      <c r="H391" s="12"/>
      <c r="I391" s="12"/>
      <c r="J391" s="26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</row>
    <row r="392" spans="1:59">
      <c r="A392" s="10"/>
      <c r="B392" s="11"/>
      <c r="C392" s="12"/>
      <c r="D392" s="12"/>
      <c r="E392" s="13"/>
      <c r="F392" s="14"/>
      <c r="G392" s="12"/>
      <c r="H392" s="12"/>
      <c r="I392" s="12"/>
      <c r="J392" s="26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</row>
    <row r="393" spans="1:59">
      <c r="A393" s="10"/>
      <c r="B393" s="11"/>
      <c r="C393" s="12"/>
      <c r="D393" s="12"/>
      <c r="E393" s="13"/>
      <c r="F393" s="14"/>
      <c r="G393" s="12"/>
      <c r="H393" s="12"/>
      <c r="I393" s="12"/>
      <c r="J393" s="26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</row>
  </sheetData>
  <customSheetViews>
    <customSheetView guid="{CFD58EC5-F475-4F0C-8822-861C497EA100}" scale="75" showPageBreaks="1" printArea="1" hiddenRows="1">
      <pane ySplit="7" topLeftCell="A224" activePane="bottomLeft" state="frozen"/>
      <selection pane="bottomLeft" activeCell="H100" sqref="H100"/>
      <rowBreaks count="1" manualBreakCount="1">
        <brk id="183" max="9" man="1"/>
      </rowBreaks>
      <pageMargins left="0.43307086614173229" right="0.23622047244094491" top="0.35433070866141736" bottom="0.74803149606299213" header="0.31496062992125984" footer="0.31496062992125984"/>
      <pageSetup paperSize="9" scale="47" fitToHeight="11" orientation="landscape" verticalDpi="144" r:id="rId1"/>
      <headerFooter scaleWithDoc="0" alignWithMargins="0"/>
    </customSheetView>
    <customSheetView guid="{84AB9039-6109-4932-AA14-522BD4A30F0B}" scale="75" showPageBreaks="1" fitToPage="1">
      <pane xSplit="2" ySplit="9" topLeftCell="E249" activePane="bottomRight" state="frozen"/>
      <selection pane="bottomRight" activeCell="J236" sqref="J236"/>
      <pageMargins left="0.19685039370078741" right="0.23622047244094491" top="0.19685039370078741" bottom="0.19685039370078741" header="0.15748031496062992" footer="0.15748031496062992"/>
      <pageSetup paperSize="9" scale="13" fitToHeight="12" orientation="landscape" horizontalDpi="120" verticalDpi="144" r:id="rId2"/>
      <headerFooter alignWithMargins="0"/>
    </customSheetView>
    <customSheetView guid="{D0621073-25BE-47D7-AC33-51146458D41C}" scale="85" showPageBreaks="1" fitToPage="1">
      <pane xSplit="2" ySplit="9" topLeftCell="C154" activePane="bottomRight" state="frozen"/>
      <selection pane="bottomRight" activeCell="G167" sqref="G167"/>
      <pageMargins left="0.19685039370078741" right="0.23622047244094491" top="0.19685039370078741" bottom="0.19685039370078741" header="0.15748031496062992" footer="0.15748031496062992"/>
      <pageSetup paperSize="9" scale="13" fitToHeight="12" orientation="landscape" horizontalDpi="120" verticalDpi="144" r:id="rId3"/>
      <headerFooter alignWithMargins="0"/>
    </customSheetView>
    <customSheetView guid="{675C859F-867B-4E3E-8283-3B2C94BFA5E5}" scale="80" showPageBreaks="1" fitToPage="1">
      <pane xSplit="2" ySplit="9" topLeftCell="C107" activePane="bottomRight" state="frozen"/>
      <selection pane="bottomRight" activeCell="B4" sqref="B4:B5"/>
      <pageMargins left="0.19685039370078741" right="0.23622047244094491" top="0.19685039370078741" bottom="0.19685039370078741" header="0.15748031496062992" footer="0.15748031496062992"/>
      <pageSetup paperSize="9" scale="13" fitToHeight="12" orientation="landscape" horizontalDpi="120" verticalDpi="144" r:id="rId4"/>
      <headerFooter alignWithMargins="0"/>
    </customSheetView>
    <customSheetView guid="{1BDFBE17-25BB-4BB9-B67F-4757B39B2D64}" scale="70" showPageBreaks="1" fitToPage="1" hiddenRows="1">
      <pane xSplit="2" ySplit="9" topLeftCell="C70" activePane="bottomRight" state="frozen"/>
      <selection pane="bottomRight" activeCell="B70" sqref="B70"/>
      <pageMargins left="0.19685039370078741" right="0.23622047244094491" top="0.19685039370078741" bottom="0.19685039370078741" header="0.15748031496062992" footer="0.15748031496062992"/>
      <pageSetup paperSize="9" scale="20" fitToHeight="12" orientation="landscape" verticalDpi="144" r:id="rId5"/>
      <headerFooter alignWithMargins="0"/>
    </customSheetView>
    <customSheetView guid="{713A662A-DFDD-43FB-A56E-1E210432D89D}" scale="85" fitToPage="1">
      <pane xSplit="2" ySplit="9" topLeftCell="C104" activePane="bottomRight" state="frozen"/>
      <selection pane="bottomRight" activeCell="C117" sqref="C117:C118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6"/>
      <headerFooter alignWithMargins="0"/>
    </customSheetView>
    <customSheetView guid="{F9324F9E-6E0D-484A-B1A6-F87CCAA93894}" scale="90" fitToPage="1">
      <pane xSplit="2" ySplit="9" topLeftCell="C121" activePane="bottomRight" state="frozen"/>
      <selection pane="bottomRight" activeCell="G323" sqref="G32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7"/>
      <headerFooter alignWithMargins="0"/>
    </customSheetView>
    <customSheetView guid="{90518B97-7307-4173-A97E-975285B914B1}" scale="75" showPageBreaks="1" topLeftCell="A115">
      <selection activeCell="C120" sqref="C120"/>
      <pageMargins left="0.47244094488188981" right="0.23622047244094491" top="0.19685039370078741" bottom="0.19685039370078741" header="0.15748031496062992" footer="0.15748031496062992"/>
      <pageSetup paperSize="9" scale="48" fitToHeight="12" orientation="landscape" verticalDpi="144" r:id="rId8"/>
      <headerFooter differentFirst="1" alignWithMargins="0">
        <oddFooter>&amp;R&amp;P</oddFooter>
      </headerFooter>
    </customSheetView>
    <customSheetView guid="{966D3932-E429-4C59-AC55-697D9EEA620A}" scale="90" showPageBreaks="1" fitToPage="1" printArea="1" showAutoFilter="1" view="pageBreakPreview">
      <pane xSplit="2" ySplit="7" topLeftCell="C8" activePane="bottomRight" state="frozen"/>
      <selection pane="bottomRight" activeCell="C308" sqref="C308:H309"/>
      <pageMargins left="0.19685039370078741" right="0.23622047244094491" top="0.19685039370078741" bottom="0.19685039370078741" header="0.15748031496062992" footer="0.15748031496062992"/>
      <pageSetup paperSize="9" scale="43" fitToHeight="12" orientation="landscape" verticalDpi="144" r:id="rId9"/>
      <headerFooter alignWithMargins="0"/>
      <autoFilter ref="A6:L365"/>
    </customSheetView>
    <customSheetView guid="{2C18B72E-FABC-405E-9989-871873679CB9}" scale="85" fitToPage="1">
      <pane xSplit="2" ySplit="9" topLeftCell="C165" activePane="bottomRight" state="frozen"/>
      <selection pane="bottomRight" activeCell="A163" sqref="A163:J171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10"/>
      <headerFooter alignWithMargins="0"/>
    </customSheetView>
    <customSheetView guid="{8112C56A-816E-41B5-AC5C-5C34336EE27C}" scale="85" fitToPage="1">
      <pane xSplit="2" ySplit="9" topLeftCell="F215" activePane="bottomRight" state="frozen"/>
      <selection pane="bottomRight" activeCell="H220" sqref="H220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11"/>
      <headerFooter alignWithMargins="0"/>
    </customSheetView>
    <customSheetView guid="{B0CF427B-E64B-46A6-97A4-9B49090FE4BE}" scale="85" fitToPage="1">
      <pane xSplit="2" ySplit="9" topLeftCell="C130" activePane="bottomRight" state="frozen"/>
      <selection pane="bottomRight" activeCell="A133" sqref="A133:IV133"/>
      <pageMargins left="0.19685039370078741" right="0.23622047244094491" top="0.19685039370078741" bottom="0.19685039370078741" header="0.15748031496062992" footer="0.15748031496062992"/>
      <pageSetup paperSize="9" scale="29" fitToHeight="12" orientation="landscape" horizontalDpi="120" verticalDpi="144" r:id="rId12"/>
      <headerFooter alignWithMargins="0"/>
    </customSheetView>
    <customSheetView guid="{72EDDA2C-BFF2-4D48-A13B-2B9C46213374}" scale="75" fitToPage="1">
      <pane xSplit="2" ySplit="9" topLeftCell="D242" activePane="bottomRight" state="frozen"/>
      <selection pane="bottomRight" activeCell="H241" sqref="H241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13"/>
      <headerFooter alignWithMargins="0"/>
    </customSheetView>
    <customSheetView guid="{839A87F2-F73A-45C5-ADB8-392A99CC1EFF}" scale="85" fitToPage="1">
      <pane xSplit="2" ySplit="4" topLeftCell="C286" activePane="bottomRight" state="frozen"/>
      <selection pane="bottomRight" activeCell="L291" sqref="L291"/>
      <pageMargins left="0.19685039370078741" right="0.23622047244094491" top="0.19685039370078741" bottom="0.19685039370078741" header="0.15748031496062992" footer="0.15748031496062992"/>
      <pageSetup paperSize="9" scale="48" fitToHeight="12" orientation="landscape" horizontalDpi="120" verticalDpi="144" r:id="rId14"/>
      <headerFooter alignWithMargins="0"/>
    </customSheetView>
    <customSheetView guid="{5EEB5DC5-097B-47D6-81BA-F19E1000B57E}" scale="75" fitToPage="1" printArea="1" showRuler="0">
      <pane xSplit="2" ySplit="9" topLeftCell="C131" activePane="bottomRight" state="frozen"/>
      <selection pane="bottomRight" activeCell="G189" sqref="G189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15"/>
      <headerFooter alignWithMargins="0"/>
    </customSheetView>
    <customSheetView guid="{795D5ECF-BF90-4F3E-A74E-B1A55C8421F2}" scale="75" fitToPage="1">
      <pane xSplit="2" ySplit="9" topLeftCell="C65" activePane="bottomRight" state="frozen"/>
      <selection pane="bottomRight" activeCell="B83" sqref="B8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16"/>
      <headerFooter alignWithMargins="0"/>
    </customSheetView>
    <customSheetView guid="{E147D13D-D04D-431E-888C-5A9AE670FC44}" scale="75" showPageBreaks="1" view="pageBreakPreview" showRuler="0" topLeftCell="A7">
      <pane xSplit="2" ySplit="10" topLeftCell="C140" activePane="bottomRight" state="frozen"/>
      <selection pane="bottomRight" activeCell="A145" sqref="A145"/>
      <pageMargins left="0.19685039370078741" right="0.23622047244094491" top="0.19685039370078741" bottom="0.19685039370078741" header="0.15748031496062992" footer="0.15748031496062992"/>
      <pageSetup paperSize="9" scale="59" orientation="landscape" horizontalDpi="120" verticalDpi="144" r:id="rId17"/>
      <headerFooter alignWithMargins="0"/>
    </customSheetView>
    <customSheetView guid="{3B5575E9-696E-4E1F-8BBE-8483CF318052}" scale="75" fitToPage="1" printArea="1" showRuler="0">
      <pane xSplit="2" ySplit="9" topLeftCell="G49" activePane="bottomRight" state="frozen"/>
      <selection pane="bottomRight" activeCell="G52" sqref="G52"/>
      <pageMargins left="0.19685039370078741" right="0.23622047244094491" top="0.19685039370078741" bottom="0.19685039370078741" header="0.15748031496062992" footer="0.15748031496062992"/>
      <pageSetup paperSize="9" scale="58" fitToHeight="12" orientation="landscape" horizontalDpi="120" verticalDpi="144" r:id="rId18"/>
      <headerFooter alignWithMargins="0"/>
    </customSheetView>
    <customSheetView guid="{452C56A1-7A56-4ADE-A5CF-E260228787E3}" scale="75" showPageBreaks="1" fitToPage="1" printArea="1" view="pageBreakPreview" showRuler="0" topLeftCell="A6">
      <pane xSplit="2" ySplit="4" topLeftCell="J189" activePane="bottomRight" state="frozen"/>
      <selection pane="bottomRight" activeCell="A197" sqref="A197:J197"/>
      <pageMargins left="0.19685039370078741" right="0.23622047244094491" top="0.19685039370078741" bottom="0.19685039370078741" header="0.15748031496062992" footer="0.15748031496062992"/>
      <pageSetup paperSize="9" scale="53" fitToHeight="12" orientation="landscape" horizontalDpi="120" verticalDpi="144" r:id="rId19"/>
      <headerFooter alignWithMargins="0"/>
    </customSheetView>
    <customSheetView guid="{7EDDA008-F905-436E-A980-951BDACDA577}" scale="80" fitToPage="1">
      <pane xSplit="2" ySplit="9" topLeftCell="C10" activePane="bottomRight" state="frozen"/>
      <selection pane="bottomRight" activeCell="I19" sqref="I19"/>
      <pageMargins left="0.19685039370078741" right="0.23622047244094491" top="0.19685039370078741" bottom="0.19685039370078741" header="0.15748031496062992" footer="0.15748031496062992"/>
      <pageSetup paperSize="9" scale="50" fitToHeight="12" orientation="landscape" horizontalDpi="120" verticalDpi="144" r:id="rId20"/>
      <headerFooter alignWithMargins="0"/>
    </customSheetView>
    <customSheetView guid="{2A0A5548-2EEF-4469-A03C-FA481083CE33}" scale="60" showPageBreaks="1" fitToPage="1" showRuler="0">
      <pane xSplit="2" ySplit="9" topLeftCell="C84" activePane="bottomRight" state="frozen"/>
      <selection pane="bottomRight" activeCell="D85" sqref="D85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1"/>
      <headerFooter alignWithMargins="0"/>
    </customSheetView>
    <customSheetView guid="{CC0A6F72-A956-4FF0-A9CF-B2F133844683}" scale="75" fitToPage="1" topLeftCell="A4">
      <pane xSplit="2" ySplit="1" topLeftCell="D247" activePane="bottomRight" state="frozen"/>
      <selection pane="bottomRight" activeCell="D263" sqref="D26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2"/>
      <headerFooter alignWithMargins="0"/>
    </customSheetView>
    <customSheetView guid="{B5FF27E5-4C0E-4323-88CE-5D44F441DDEF}" scale="60" fitToPage="1">
      <pane xSplit="2" ySplit="9" topLeftCell="D65" activePane="bottomRight" state="frozen"/>
      <selection pane="bottomRight" activeCell="F101" sqref="F101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3"/>
      <headerFooter alignWithMargins="0"/>
    </customSheetView>
    <customSheetView guid="{33313D92-ACCC-472C-8066-C92558BED64F}" scale="65" showPageBreaks="1" fitToPage="1">
      <pane xSplit="2" ySplit="9" topLeftCell="C220" activePane="bottomRight" state="frozen"/>
      <selection pane="bottomRight" activeCell="C124" sqref="C124:F124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4"/>
      <headerFooter alignWithMargins="0"/>
    </customSheetView>
    <customSheetView guid="{F9D2B861-A6DF-4E58-9205-20667B07345D}" scale="85" fitToPage="1">
      <pane xSplit="2" ySplit="9" topLeftCell="C10" activePane="bottomRight" state="frozen"/>
      <selection pane="bottomRight" activeCell="A174" sqref="A174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5"/>
      <headerFooter alignWithMargins="0"/>
    </customSheetView>
    <customSheetView guid="{0EDC1FFF-2611-4DAC-98A8-22EC25025967}" scale="75" showPageBreaks="1" fitToPage="1">
      <pane xSplit="2" ySplit="9" topLeftCell="C240" activePane="bottomRight" state="frozen"/>
      <selection pane="bottomRight" activeCell="I240" sqref="I240:J250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6"/>
      <headerFooter alignWithMargins="0"/>
    </customSheetView>
    <customSheetView guid="{998E5F34-5F22-456C-AF6B-44B849DA5E75}" scale="70">
      <pane xSplit="2" ySplit="5" topLeftCell="F6" activePane="bottomRight" state="frozen"/>
      <selection pane="bottomRight" sqref="A1:J1"/>
      <pageMargins left="0.47244094488188981" right="0.23622047244094491" top="0.19685039370078741" bottom="0.19685039370078741" header="0.15748031496062992" footer="0.15748031496062992"/>
      <pageSetup paperSize="9" scale="48" fitToHeight="12" orientation="landscape" verticalDpi="144" r:id="rId27"/>
      <headerFooter alignWithMargins="0"/>
    </customSheetView>
    <customSheetView guid="{471079C8-6E8B-4088-8968-A7D0C5B8653D}" scale="85" fitToPage="1">
      <pane xSplit="2" ySplit="9" topLeftCell="C174" activePane="bottomRight" state="frozen"/>
      <selection pane="bottomRight" activeCell="C182" sqref="C182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28"/>
      <headerFooter alignWithMargins="0"/>
    </customSheetView>
    <customSheetView guid="{A600D8D5-C13F-49F2-9D2C-FC8EA32AC551}" scale="90" showPageBreaks="1" view="pageBreakPreview">
      <pane xSplit="2" ySplit="7" topLeftCell="C263" activePane="bottomRight" state="frozen"/>
      <selection pane="bottomRight" activeCell="D264" sqref="D264"/>
      <pageMargins left="0.47244094488188981" right="0.23622047244094491" top="0.19685039370078741" bottom="0.19685039370078741" header="0.15748031496062992" footer="0.15748031496062992"/>
      <pageSetup paperSize="9" scale="47" fitToHeight="12" orientation="landscape" verticalDpi="144" r:id="rId29"/>
      <headerFooter differentFirst="1" alignWithMargins="0">
        <oddFooter>&amp;R&amp;P</oddFooter>
      </headerFooter>
    </customSheetView>
    <customSheetView guid="{868786DC-4C96-45F5-A272-3E03D4B934A0}" scale="58" showPageBreaks="1" fitToPage="1">
      <pane xSplit="2" ySplit="9" topLeftCell="C256" activePane="bottomRight" state="frozen"/>
      <selection pane="bottomRight" activeCell="G282" sqref="G282"/>
      <pageMargins left="0.19685039370078741" right="0.23622047244094491" top="0.19685039370078741" bottom="0.19685039370078741" header="0.15748031496062992" footer="0.15748031496062992"/>
      <pageSetup paperSize="9" scale="42" fitToHeight="12" orientation="landscape" horizontalDpi="120" verticalDpi="144" r:id="rId30"/>
      <headerFooter alignWithMargins="0"/>
    </customSheetView>
    <customSheetView guid="{8FB1E024-9866-4CAD-B900-0CCFEA27B234}" scale="75" showPageBreaks="1" fitToPage="1" printArea="1" showRuler="0">
      <pane xSplit="2" ySplit="9" topLeftCell="C120" activePane="bottomRight" state="frozen"/>
      <selection pane="bottomRight" activeCell="H134" sqref="H134"/>
      <pageMargins left="0.19685039370078741" right="0.23622047244094491" top="0.19685039370078741" bottom="0.19685039370078741" header="0.15748031496062992" footer="0.15748031496062992"/>
      <pageSetup paperSize="9" scale="43" fitToHeight="12" orientation="landscape" verticalDpi="144" r:id="rId31"/>
      <headerFooter alignWithMargins="0"/>
    </customSheetView>
    <customSheetView guid="{BE1C4A44-01B5-4ECE-8D55-C71095D37032}" scale="80" showPageBreaks="1" fitToPage="1">
      <pane xSplit="2" ySplit="9" topLeftCell="C118" activePane="bottomRight" state="frozen"/>
      <selection pane="bottomRight" activeCell="C120" sqref="C120"/>
      <pageMargins left="0.19685039370078741" right="0.23622047244094491" top="0.19685039370078741" bottom="0.19685039370078741" header="0.15748031496062992" footer="0.15748031496062992"/>
      <pageSetup paperSize="9" scale="29" fitToHeight="12" orientation="landscape" horizontalDpi="120" verticalDpi="144" r:id="rId32"/>
      <headerFooter alignWithMargins="0"/>
    </customSheetView>
    <customSheetView guid="{CFB0A04F-563D-4D2B-BCD3-ACFCDC70E584}" scale="85" showPageBreaks="1" fitToPage="1" hiddenRows="1">
      <pane xSplit="2" ySplit="8" topLeftCell="C10" activePane="bottomRight" state="frozen"/>
      <selection pane="bottomRight" activeCell="G127" sqref="G127"/>
      <pageMargins left="0.19685039370078741" right="0.23622047244094491" top="0.19685039370078741" bottom="0.19685039370078741" header="0.15748031496062992" footer="0.15748031496062992"/>
      <pageSetup paperSize="9" scale="34" fitToHeight="12" orientation="landscape" horizontalDpi="120" verticalDpi="144" r:id="rId33"/>
      <headerFooter alignWithMargins="0"/>
    </customSheetView>
    <customSheetView guid="{BC4BF63E-98F8-4CE0-B0DE-A2A71C291EFE}" scale="85" showPageBreaks="1">
      <pane xSplit="2" ySplit="9" topLeftCell="C146" activePane="bottomRight" state="frozen"/>
      <selection pane="bottomRight" activeCell="G3" sqref="G3:J3"/>
      <pageMargins left="0.19685039370078741" right="0.23622047244094491" top="0.19685039370078741" bottom="0.19685039370078741" header="0.15748031496062992" footer="0.15748031496062992"/>
      <pageSetup paperSize="9" scale="45" fitToHeight="12" orientation="landscape" horizontalDpi="120" verticalDpi="144" r:id="rId34"/>
      <headerFooter alignWithMargins="0"/>
    </customSheetView>
    <customSheetView guid="{9BFA17BE-4413-48EA-8DFA-9D7972E1D966}" scale="85" showPageBreaks="1">
      <pane xSplit="2" ySplit="9" topLeftCell="C274" activePane="bottomRight" state="frozen"/>
      <selection pane="bottomRight" activeCell="D281" sqref="D281"/>
      <pageMargins left="0.19685039370078741" right="0.23622047244094491" top="0.19685039370078741" bottom="0.19685039370078741" header="0.15748031496062992" footer="0.15748031496062992"/>
      <pageSetup paperSize="9" scale="55" fitToHeight="12" orientation="landscape" horizontalDpi="120" verticalDpi="144" r:id="rId35"/>
      <headerFooter alignWithMargins="0"/>
    </customSheetView>
    <customSheetView guid="{FA039D92-C83F-438E-BA9D-917452CA1B7F}" scale="85" showPageBreaks="1" fitToPage="1">
      <pane xSplit="2" ySplit="9" topLeftCell="C240" activePane="bottomRight"/>
      <selection pane="bottomRight" activeCell="E242" sqref="E242"/>
      <pageMargins left="0.19685039370078741" right="0.23622047244094491" top="0.19685039370078741" bottom="0.19685039370078741" header="0.15748031496062992" footer="0.15748031496062992"/>
      <pageSetup paperSize="9" scale="28" fitToHeight="12" orientation="landscape" horizontalDpi="120" verticalDpi="144" r:id="rId36"/>
      <headerFooter alignWithMargins="0"/>
    </customSheetView>
    <customSheetView guid="{8DA01475-C6A0-4A19-B7EB-B1C704431492}" scale="70" showPageBreaks="1" fitToPage="1">
      <pane xSplit="2" ySplit="9" topLeftCell="C91" activePane="bottomRight" state="frozen"/>
      <selection pane="bottomRight" activeCell="A298" sqref="A298:J298"/>
      <pageMargins left="0.19685039370078741" right="0.23622047244094491" top="0.19685039370078741" bottom="0.19685039370078741" header="0.15748031496062992" footer="0.15748031496062992"/>
      <pageSetup paperSize="9" scale="28" fitToHeight="12" orientation="landscape" horizontalDpi="120" verticalDpi="144" r:id="rId37"/>
      <headerFooter alignWithMargins="0"/>
    </customSheetView>
    <customSheetView guid="{221AFC77-C97B-4D44-8163-7AA758A08BF9}" scale="71" showPageBreaks="1" fitToPage="1" printArea="1" showRuler="0">
      <pane ySplit="6" topLeftCell="A84" activePane="bottomLeft" state="frozen"/>
      <selection pane="bottomLeft" sqref="A1:XFD93"/>
      <pageMargins left="0.19685039370078741" right="0.23622047244094491" top="0.19685039370078741" bottom="0.19685039370078741" header="0.15748031496062992" footer="0.15748031496062992"/>
      <pageSetup paperSize="9" scale="48" fitToHeight="12" orientation="landscape" verticalDpi="144" r:id="rId38"/>
      <headerFooter alignWithMargins="0"/>
    </customSheetView>
    <customSheetView guid="{95A7493F-2B11-406A-BB91-458FD9DC3BAE}" scale="75" showPageBreaks="1" fitToPage="1" printArea="1" showRuler="0">
      <pane xSplit="2" ySplit="9" topLeftCell="C90" activePane="bottomRight" state="frozen"/>
      <selection pane="bottomRight" activeCell="A93" sqref="A93:J93"/>
      <pageMargins left="0.19685039370078741" right="0.19685039370078741" top="0.19685039370078741" bottom="0.19685039370078741" header="0.15748031496062992" footer="0.15748031496062992"/>
      <pageSetup paperSize="9" scale="48" fitToHeight="14" orientation="landscape" verticalDpi="144" r:id="rId39"/>
      <headerFooter alignWithMargins="0"/>
    </customSheetView>
    <customSheetView guid="{EF32CA8F-131B-41F0-AA31-167807ADE2D4}" scale="85" fitToPage="1">
      <pane xSplit="2" ySplit="9" topLeftCell="F188" activePane="bottomRight" state="frozen"/>
      <selection pane="bottomRight" activeCell="B207" sqref="B207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40"/>
      <headerFooter alignWithMargins="0"/>
    </customSheetView>
    <customSheetView guid="{06B33669-D909-4CD8-806F-33C009B9DF0A}" scale="75" showPageBreaks="1" fitToPage="1">
      <pane xSplit="2" ySplit="9" topLeftCell="C107" activePane="bottomRight" state="frozen"/>
      <selection pane="bottomRight" activeCell="J212" sqref="J212"/>
      <pageMargins left="0.19685039370078741" right="0.23622047244094491" top="0.19685039370078741" bottom="0.19685039370078741" header="0.15748031496062992" footer="0.15748031496062992"/>
      <pageSetup paperSize="9" scale="10" fitToHeight="12" orientation="portrait" horizontalDpi="120" verticalDpi="144" r:id="rId41"/>
      <headerFooter alignWithMargins="0"/>
    </customSheetView>
    <customSheetView guid="{3824CD03-2F75-4531-8348-997F8B6518CE}" scale="85" fitToPage="1">
      <pane xSplit="2" ySplit="9" topLeftCell="C176" activePane="bottomRight" state="frozen"/>
      <selection pane="bottomRight" activeCell="I185" sqref="I185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42"/>
      <headerFooter alignWithMargins="0"/>
    </customSheetView>
    <customSheetView guid="{68CBFC64-03A4-4F74-B34E-EE1DB915A668}" scale="85" showPageBreaks="1" fitToPage="1">
      <pane xSplit="2" ySplit="9" topLeftCell="C10" activePane="bottomRight" state="frozen"/>
      <selection pane="bottomRight" activeCell="K96" sqref="K96"/>
      <pageMargins left="0.19685039370078741" right="0.23622047244094491" top="0.19685039370078741" bottom="0.19685039370078741" header="0.15748031496062992" footer="0.15748031496062992"/>
      <pageSetup paperSize="9" scale="10" orientation="landscape" verticalDpi="144" r:id="rId43"/>
      <headerFooter alignWithMargins="0"/>
    </customSheetView>
    <customSheetView guid="{0CBA335B-0DD8-471B-913E-91954D8A7DE8}" scale="85" showPageBreaks="1" fitToPage="1" topLeftCell="A79">
      <selection activeCell="B72" sqref="B72"/>
      <pageMargins left="0.19685039370078741" right="0.23622047244094491" top="0.19685039370078741" bottom="0.19685039370078741" header="0.15748031496062992" footer="0.15748031496062992"/>
      <pageSetup paperSize="9" scale="13" fitToHeight="12" orientation="landscape" horizontalDpi="120" verticalDpi="144" r:id="rId44"/>
      <headerFooter alignWithMargins="0"/>
    </customSheetView>
    <customSheetView guid="{909763BC-F63D-4E79-B4F6-FCE1E0BE71C6}" scale="75" showPageBreaks="1" fitToPage="1" printArea="1" view="pageBreakPreview">
      <pane xSplit="2" ySplit="6" topLeftCell="C7" activePane="bottomRight" state="frozen"/>
      <selection pane="bottomRight" activeCell="D233" sqref="D233"/>
      <pageMargins left="0.19685039370078741" right="0.23622047244094491" top="0.19685039370078741" bottom="0.19685039370078741" header="0.15748031496062992" footer="0.15748031496062992"/>
      <pageSetup paperSize="9" scale="48" fitToHeight="12" orientation="landscape" horizontalDpi="120" verticalDpi="144" r:id="rId45"/>
      <headerFooter alignWithMargins="0"/>
    </customSheetView>
  </customSheetViews>
  <mergeCells count="8">
    <mergeCell ref="A239:J239"/>
    <mergeCell ref="A96:J96"/>
    <mergeCell ref="A2:J2"/>
    <mergeCell ref="C3:F3"/>
    <mergeCell ref="G3:J3"/>
    <mergeCell ref="A3:A4"/>
    <mergeCell ref="B3:B4"/>
    <mergeCell ref="A6:J6"/>
  </mergeCells>
  <phoneticPr fontId="1" type="noConversion"/>
  <pageMargins left="0.19685039370078741" right="0.23622047244094491" top="0.19685039370078741" bottom="0.19685039370078741" header="0.15748031496062992" footer="0.15748031496062992"/>
  <pageSetup paperSize="9" scale="48" fitToHeight="12" orientation="landscape" horizontalDpi="120" verticalDpi="144" r:id="rId4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CFD58EC5-F475-4F0C-8822-861C497EA100}">
      <pageMargins left="0.7" right="0.7" top="0.75" bottom="0.75" header="0.3" footer="0.3"/>
    </customSheetView>
    <customSheetView guid="{0CBA335B-0DD8-471B-913E-91954D8A7DE8}">
      <pageMargins left="0.7" right="0.7" top="0.75" bottom="0.75" header="0.3" footer="0.3"/>
    </customSheetView>
    <customSheetView guid="{909763BC-F63D-4E79-B4F6-FCE1E0BE71C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общее</vt:lpstr>
      <vt:lpstr>Лист1</vt:lpstr>
      <vt:lpstr>общее!Область_печати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User416с</cp:lastModifiedBy>
  <cp:lastPrinted>2024-04-29T12:28:43Z</cp:lastPrinted>
  <dcterms:created xsi:type="dcterms:W3CDTF">2001-02-08T10:51:36Z</dcterms:created>
  <dcterms:modified xsi:type="dcterms:W3CDTF">2024-08-08T11:40:58Z</dcterms:modified>
</cp:coreProperties>
</file>