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Будівництво Капітальн ремонти" sheetId="1" r:id="rId1"/>
  </sheets>
  <definedNames>
    <definedName name="_xlnm._FilterDatabase" localSheetId="0" hidden="1">'Будівництво Капітальн ремонти'!$A$4:$K$11</definedName>
    <definedName name="Z_005971EF_F918_468C_BD25_66E4F9645745_.wvu.FilterData" localSheetId="0" hidden="1">'Будівництво Капітальн ремонти'!$A$4:$W$4</definedName>
    <definedName name="Z_01DFF1B6_CEF8_410A_9F3C_632D5E9982AA_.wvu.FilterData" localSheetId="0" hidden="1">'Будівництво Капітальн ремонти'!$A$4:$BI$4</definedName>
    <definedName name="Z_04FA63F9_2E56_4F13_A11D_5638017E71B8_.wvu.FilterData" localSheetId="0" hidden="1">'Будівництво Капітальн ремонти'!$A$4:$W$4</definedName>
    <definedName name="Z_0712C8CF_1B2E_454C_A917_7D6E33313D22_.wvu.FilterData" localSheetId="0" hidden="1">'Будівництво Капітальн ремонти'!$A$3:$G$4</definedName>
    <definedName name="Z_0779DE66_13CE_4E20_AB77_D502EEA80758_.wvu.FilterData" localSheetId="0" hidden="1">'Будівництво Капітальн ремонти'!$A$4:$K$1236</definedName>
    <definedName name="Z_0807BC37_3C63_4F33_8764_08C0EDADAA6D_.wvu.FilterData" localSheetId="0" hidden="1">'Будівництво Капітальн ремонти'!$A$3:$G$4</definedName>
    <definedName name="Z_0807BC37_3C63_4F33_8764_08C0EDADAA6D_.wvu.PrintTitles" localSheetId="0" hidden="1">'Будівництво Капітальн ремонти'!$3:$4</definedName>
    <definedName name="Z_0CAD288D_3D93_4121_9E18_6A575266150B_.wvu.FilterData" localSheetId="0" hidden="1">'Будівництво Капітальн ремонти'!$A$4:$XEX$4</definedName>
    <definedName name="Z_187DDB91_9B1E_4122_8872_9C4988859E75_.wvu.FilterData" localSheetId="0" hidden="1">'Будівництво Капітальн ремонти'!$A$4:$K$4</definedName>
    <definedName name="Z_187DDB91_9B1E_4122_8872_9C4988859E75_.wvu.PrintTitles" localSheetId="0" hidden="1">'Будівництво Капітальн ремонти'!$3:$4</definedName>
    <definedName name="Z_193BCC40_9C09_41FF_8840_244508B0D778_.wvu.FilterData" localSheetId="0" hidden="1">'Будівництво Капітальн ремонти'!$A$4:$K$4</definedName>
    <definedName name="Z_19BB9D72_B118_4110_9712_49743BB4FC98_.wvu.FilterData" localSheetId="0" hidden="1">'Будівництво Капітальн ремонти'!$A$4:$N$4</definedName>
    <definedName name="Z_2146256A_1085_4DE4_B1BC_94DB5D0FC0F1_.wvu.FilterData" localSheetId="0" hidden="1">'Будівництво Капітальн ремонти'!$A$3:$G$4</definedName>
    <definedName name="Z_237E48EE_855D_4E22_A215_D7BA155C0632_.wvu.FilterData" localSheetId="0" hidden="1">'Будівництво Капітальн ремонти'!$A$3:$G$4</definedName>
    <definedName name="Z_237E48EE_855D_4E22_A215_D7BA155C0632_.wvu.PrintTitles" localSheetId="0" hidden="1">'Будівництво Капітальн ремонти'!$3:$4</definedName>
    <definedName name="Z_25D80E02_DE87_403B_A2BD_704FFA9D66DA_.wvu.FilterData" localSheetId="0" hidden="1">'Будівництво Капітальн ремонти'!$A$4:$W$4</definedName>
    <definedName name="Z_25D80E02_DE87_403B_A2BD_704FFA9D66DA_.wvu.PrintTitles" localSheetId="0" hidden="1">'Будівництво Капітальн ремонти'!$3:$4</definedName>
    <definedName name="Z_28415913_7AB1_4A02_AA60_C073714C3F09_.wvu.FilterData" localSheetId="0" hidden="1">'Будівництво Капітальн ремонти'!$A$4:$BI$4</definedName>
    <definedName name="Z_302451A2_30FE_4602_BE3B_541073D7AEBA_.wvu.FilterData" localSheetId="0" hidden="1">'Будівництво Капітальн ремонти'!$A$4:$BI$4</definedName>
    <definedName name="Z_340C5B7D_16F8_43BC_BEC9_CA5089C2FDCD_.wvu.FilterData" localSheetId="0" hidden="1">'Будівництво Капітальн ремонти'!$A$4:$XEX$4</definedName>
    <definedName name="Z_373C6CF9_23BB_4CF5_B1A6_873AA5A22ED1_.wvu.FilterData" localSheetId="0" hidden="1">'Будівництво Капітальн ремонти'!$A$4:$BI$4</definedName>
    <definedName name="Z_3BE01B30_3FF8_40C2_9792_578D6EC2F22D_.wvu.FilterData" localSheetId="0" hidden="1">'Будівництво Капітальн ремонти'!$A$4:$BI$4</definedName>
    <definedName name="Z_436A1965_C17E_45AD_8476_CFF58DA45F66_.wvu.FilterData" localSheetId="0" hidden="1">'Будівництво Капітальн ремонти'!$A$4:$K$1236</definedName>
    <definedName name="Z_436A1965_C17E_45AD_8476_CFF58DA45F66_.wvu.PrintTitles" localSheetId="0" hidden="1">'Будівництво Капітальн ремонти'!$3:$4</definedName>
    <definedName name="Z_43A03245_53A5_4659_9E38_5CAD9D54BED8_.wvu.FilterData" localSheetId="0" hidden="1">'Будівництво Капітальн ремонти'!$A$3:$G$4</definedName>
    <definedName name="Z_474AD9E5_0631_470C_B2E5_D350E1431DBA_.wvu.FilterData" localSheetId="0" hidden="1">'Будівництво Капітальн ремонти'!$A$4:$XEX$4</definedName>
    <definedName name="Z_4D494E37_21A4_41F8_BD77_D1C44D691FA4_.wvu.FilterData" localSheetId="0" hidden="1">'Будівництво Капітальн ремонти'!$A$4:$N$4</definedName>
    <definedName name="Z_4D494E37_21A4_41F8_BD77_D1C44D691FA4_.wvu.PrintTitles" localSheetId="0" hidden="1">'Будівництво Капітальн ремонти'!$3:$4</definedName>
    <definedName name="Z_5353A7D7_40DB_4C7C_B73E_9BD41A6C5998_.wvu.FilterData" localSheetId="0" hidden="1">'Будівництво Капітальн ремонти'!$A$3:$G$4</definedName>
    <definedName name="Z_567529EF_3863_4313_AD96_FB42F3AE3F13_.wvu.FilterData" localSheetId="0" hidden="1">'Будівництво Капітальн ремонти'!$A$4:$K$4</definedName>
    <definedName name="Z_5806AF68_1B93_49C8_84FC_33B7F4AB7F7D_.wvu.FilterData" localSheetId="0" hidden="1">'Будівництво Капітальн ремонти'!$A$4:$K$4</definedName>
    <definedName name="Z_592BCC2D_C80C_4ED6_BF39_105E1BEB677B_.wvu.FilterData" localSheetId="0" hidden="1">'Будівництво Капітальн ремонти'!$A$4:$K$11</definedName>
    <definedName name="Z_592BCC2D_C80C_4ED6_BF39_105E1BEB677B_.wvu.PrintTitles" localSheetId="0" hidden="1">'Будівництво Капітальн ремонти'!$3:$4</definedName>
    <definedName name="Z_6235BC21_3D25_4E8C_898E_855DDDDD2566_.wvu.FilterData" localSheetId="0" hidden="1">'Будівництво Капітальн ремонти'!$A$4:$K$4</definedName>
    <definedName name="Z_6235BC21_3D25_4E8C_898E_855DDDDD2566_.wvu.PrintTitles" localSheetId="0" hidden="1">'Будівництво Капітальн ремонти'!$3:$4</definedName>
    <definedName name="Z_63624039_79B7_4B53_8C9B_62AEAD1FE854_.wvu.FilterData" localSheetId="0" hidden="1">'Будівництво Капітальн ремонти'!$A$4:$K$4</definedName>
    <definedName name="Z_63624039_79B7_4B53_8C9B_62AEAD1FE854_.wvu.PrintTitles" localSheetId="0" hidden="1">'Будівництво Капітальн ремонти'!$3:$4</definedName>
    <definedName name="Z_67F93DAC_A070_420F_B775_261F35C9721F_.wvu.FilterData" localSheetId="0" hidden="1">'Будівництво Капітальн ремонти'!$A$3:$G$4</definedName>
    <definedName name="Z_6C44D0DE_ADF0_4756_855B_4978F9F90A71_.wvu.FilterData" localSheetId="0" hidden="1">'Будівництво Капітальн ремонти'!$A$3:$G$4</definedName>
    <definedName name="Z_6C4C0A1E_9F55_46A5_9256_CBEA636F78CA_.wvu.FilterData" localSheetId="0" hidden="1">'Будівництво Капітальн ремонти'!$A$3:$G$4</definedName>
    <definedName name="Z_6C4C0A1E_9F55_46A5_9256_CBEA636F78CA_.wvu.PrintTitles" localSheetId="0" hidden="1">'Будівництво Капітальн ремонти'!$3:$4</definedName>
    <definedName name="Z_6C9AB91F_5ABC_4200_8365_900A36680771_.wvu.FilterData" localSheetId="0" hidden="1">'Будівництво Капітальн ремонти'!$A$3:$G$4</definedName>
    <definedName name="Z_70AF0F29_B7F4_4E0E_8892_FCED68CB2722_.wvu.FilterData" localSheetId="0" hidden="1">'Будівництво Капітальн ремонти'!$A$4:$XEX$4</definedName>
    <definedName name="Z_76F6674F_8681_453E_9A83_7142BD66519C_.wvu.FilterData" localSheetId="0" hidden="1">'Будівництво Капітальн ремонти'!$A$4:$K$1236</definedName>
    <definedName name="Z_84CF30C8_E5F1_4471_9C9A_3ED72458E1C8_.wvu.FilterData" localSheetId="0" hidden="1">'Будівництво Капітальн ремонти'!$A$4:$K$11</definedName>
    <definedName name="Z_880B0293_1E83_4F03_A590_98BFE28A2EAD_.wvu.FilterData" localSheetId="0" hidden="1">'Будівництво Капітальн ремонти'!$A$4:$N$4</definedName>
    <definedName name="Z_880B0293_1E83_4F03_A590_98BFE28A2EAD_.wvu.PrintArea" localSheetId="0" hidden="1">'Будівництво Капітальн ремонти'!$A$2:$G$4</definedName>
    <definedName name="Z_880B0293_1E83_4F03_A590_98BFE28A2EAD_.wvu.PrintTitles" localSheetId="0" hidden="1">'Будівництво Капітальн ремонти'!$3:$4</definedName>
    <definedName name="Z_90A820AD_17EE_4FA6_ABE9_F8E8F7CEE627_.wvu.FilterData" localSheetId="0" hidden="1">'Будівництво Капітальн ремонти'!$A$4:$K$11</definedName>
    <definedName name="Z_94A2A2F5_7164_46C6_BF9F_AB5DAA84D213_.wvu.FilterData" localSheetId="0" hidden="1">'Будівництво Капітальн ремонти'!$A$4:$BI$4</definedName>
    <definedName name="Z_94A2A2F5_7164_46C6_BF9F_AB5DAA84D213_.wvu.PrintTitles" localSheetId="0" hidden="1">'Будівництво Капітальн ремонти'!$3:$4</definedName>
    <definedName name="Z_9568FF0A_63AF_4719_A609_46317B36A482_.wvu.FilterData" localSheetId="0" hidden="1">'Будівництво Капітальн ремонти'!$A$4:$K$11</definedName>
    <definedName name="Z_9568FF0A_63AF_4719_A609_46317B36A482_.wvu.PrintTitles" localSheetId="0" hidden="1">'Будівництво Капітальн ремонти'!$3:$4</definedName>
    <definedName name="Z_9B348F59_60C9_4B35_8EF0_0CAA0A744718_.wvu.FilterData" localSheetId="0" hidden="1">'Будівництво Капітальн ремонти'!$A$3:$G$4</definedName>
    <definedName name="Z_9CE213CE_F0A6_42A0_8EF3_1354EABBB6B9_.wvu.FilterData" localSheetId="0" hidden="1">'Будівництво Капітальн ремонти'!$A$4:$K$1236</definedName>
    <definedName name="Z_A1252B65_4D72_4967_8FFE_C9D57468D998_.wvu.FilterData" localSheetId="0" hidden="1">'Будівництво Капітальн ремонти'!$A$4:$BI$4</definedName>
    <definedName name="Z_A840FFB8_8EA2_40E3_BE16_2621F9164B9C_.wvu.FilterData" localSheetId="0" hidden="1">'Будівництво Капітальн ремонти'!$A$3:$G$4</definedName>
    <definedName name="Z_A9491F8C_897A_4DF8_87F6_6CD8431C9F12_.wvu.FilterData" localSheetId="0" hidden="1">'Будівництво Капітальн ремонти'!$A$4:$BI$4</definedName>
    <definedName name="Z_AA6B1375_45E6_42B6_A6AB_8C595BF1C0B3_.wvu.FilterData" localSheetId="0" hidden="1">'Будівництво Капітальн ремонти'!$A$4:$K$11</definedName>
    <definedName name="Z_AA6B1375_45E6_42B6_A6AB_8C595BF1C0B3_.wvu.PrintArea" localSheetId="0" hidden="1">'Будівництво Капітальн ремонти'!$A$2:$G$4</definedName>
    <definedName name="Z_AA6B1375_45E6_42B6_A6AB_8C595BF1C0B3_.wvu.PrintTitles" localSheetId="0" hidden="1">'Будівництво Капітальн ремонти'!$3:$4</definedName>
    <definedName name="Z_AFFF0CD7_F04C_4431_A681_E6B893AFBFAC_.wvu.FilterData" localSheetId="0" hidden="1">'Будівництво Капітальн ремонти'!$A$4:$BI$4</definedName>
    <definedName name="Z_B2B7808A_1DE3_4E8C_BA26_3C1F89D42E45_.wvu.FilterData" localSheetId="0" hidden="1">'Будівництво Капітальн ремонти'!$A$4:$N$4</definedName>
    <definedName name="Z_B2B7808A_1DE3_4E8C_BA26_3C1F89D42E45_.wvu.PrintTitles" localSheetId="0" hidden="1">'Будівництво Капітальн ремонти'!$3:$4</definedName>
    <definedName name="Z_C08C5C12_FFBC_4F4C_9138_5D34ADCEB223_.wvu.FilterData" localSheetId="0" hidden="1">'Будівництво Капітальн ремонти'!$A$3:$G$4</definedName>
    <definedName name="Z_C08C5C12_FFBC_4F4C_9138_5D34ADCEB223_.wvu.PrintTitles" localSheetId="0" hidden="1">'Будівництво Капітальн ремонти'!$3:$4</definedName>
    <definedName name="Z_C27955D4_807E_4F74_AF90_54AA294CBBAD_.wvu.FilterData" localSheetId="0" hidden="1">'Будівництво Капітальн ремонти'!$A$4:$W$4</definedName>
    <definedName name="Z_C431141F_117F_49C7_B3E7_D4961D1E781E_.wvu.FilterData" localSheetId="0" hidden="1">'Будівництво Капітальн ремонти'!$A$4:$K$11</definedName>
    <definedName name="Z_C431141F_117F_49C7_B3E7_D4961D1E781E_.wvu.PrintTitles" localSheetId="0" hidden="1">'Будівництво Капітальн ремонти'!$3:$4</definedName>
    <definedName name="Z_C4E1FC53_13AF_4353_A377_998BCF090C4C_.wvu.FilterData" localSheetId="0" hidden="1">'Будівництво Капітальн ремонти'!$A$4:$K$1236</definedName>
    <definedName name="Z_C4E1FC53_13AF_4353_A377_998BCF090C4C_.wvu.PrintTitles" localSheetId="0" hidden="1">'Будівництво Капітальн ремонти'!$3:$4</definedName>
    <definedName name="Z_C5900E84_7927_47AF_8099_AE9ADCC05000_.wvu.FilterData" localSheetId="0" hidden="1">'Будівництво Капітальн ремонти'!$A$4:$N$4</definedName>
    <definedName name="Z_C6E63E91_D3BD_4244_BAC2_2378C38DF10F_.wvu.FilterData" localSheetId="0" hidden="1">'Будівництво Капітальн ремонти'!$A$3:$G$4</definedName>
    <definedName name="Z_CA43201F_577B_461A_8DF7_C9B35404B678_.wvu.FilterData" localSheetId="0" hidden="1">'Будівництво Капітальн ремонти'!$A$3:$G$4</definedName>
    <definedName name="Z_D235180C_1035_4CAF_9BB4_384CAB3CCDFC_.wvu.FilterData" localSheetId="0" hidden="1">'Будівництво Капітальн ремонти'!$A$4:$N$4</definedName>
    <definedName name="Z_D4CC40E6_520E_4D39_B031_6A4B1DAB07E5_.wvu.FilterData" localSheetId="0" hidden="1">'Будівництво Капітальн ремонти'!$A$4:$BI$4</definedName>
    <definedName name="Z_D9484880_CF58_47E8_B975_929089AABF51_.wvu.FilterData" localSheetId="0" hidden="1">'Будівництво Капітальн ремонти'!$A$4:$XEX$4</definedName>
    <definedName name="Z_DB58D692_7C71_425A_AE9F_1114FE51D73B_.wvu.FilterData" localSheetId="0" hidden="1">'Будівництво Капітальн ремонти'!$A$3:$G$4</definedName>
    <definedName name="Z_DB8E018D_E53C_4A0C_95B5_EC31789EF013_.wvu.FilterData" localSheetId="0" hidden="1">'Будівництво Капітальн ремонти'!$A$3:$G$4</definedName>
    <definedName name="Z_DBC485AA_79A3_4B47_8CE4_0508E185DAD7_.wvu.FilterData" localSheetId="0" hidden="1">'Будівництво Капітальн ремонти'!$A$4:$BI$4</definedName>
    <definedName name="Z_E00A1D70_FCEF_4F5E_A095_D6081C47D600_.wvu.FilterData" localSheetId="0" hidden="1">'Будівництво Капітальн ремонти'!$A$3:$G$4</definedName>
    <definedName name="Z_EB2530C4_7934_440A_A023_0F790A18E88E_.wvu.FilterData" localSheetId="0" hidden="1">'Будівництво Капітальн ремонти'!$A$3:$G$4</definedName>
    <definedName name="Z_EED4C4C4_2768_4906_8D20_11DE2EB8B1AD_.wvu.FilterData" localSheetId="0" hidden="1">'Будівництво Капітальн ремонти'!$A$3:$G$4</definedName>
    <definedName name="Z_EED4C4C4_2768_4906_8D20_11DE2EB8B1AD_.wvu.PrintTitles" localSheetId="0" hidden="1">'Будівництво Капітальн ремонти'!$3:$4</definedName>
    <definedName name="Z_F98F274B_D1A0_4A29_AA81_6825FE940DE9_.wvu.FilterData" localSheetId="0" hidden="1">'Будівництво Капітальн ремонти'!$A$4:$BI$4</definedName>
    <definedName name="Z_F9EBA6F6_E4E3_47F2_879B_9CEB6937273B_.wvu.FilterData" localSheetId="0" hidden="1">'Будівництво Капітальн ремонти'!$A$3:$G$4</definedName>
    <definedName name="_xlnm.Print_Titles" localSheetId="0">'Будівництво Капітальн ремонти'!$3:$4</definedName>
  </definedNames>
  <calcPr calcId="124519" refMode="R1C1"/>
</workbook>
</file>

<file path=xl/calcChain.xml><?xml version="1.0" encoding="utf-8"?>
<calcChain xmlns="http://schemas.openxmlformats.org/spreadsheetml/2006/main">
  <c r="D11" i="1"/>
  <c r="E11"/>
  <c r="F11"/>
  <c r="F15"/>
  <c r="D18"/>
  <c r="F21"/>
  <c r="D24"/>
  <c r="F24"/>
  <c r="F28"/>
  <c r="D32"/>
  <c r="E32"/>
  <c r="F32"/>
  <c r="D37"/>
  <c r="E37"/>
  <c r="F37"/>
  <c r="D39"/>
  <c r="E39"/>
  <c r="F39"/>
  <c r="D45"/>
  <c r="E45"/>
  <c r="F45"/>
  <c r="D47"/>
  <c r="E47"/>
  <c r="F47"/>
  <c r="D55"/>
  <c r="E55"/>
  <c r="F55"/>
  <c r="F63"/>
  <c r="F64"/>
  <c r="F68"/>
  <c r="F72"/>
  <c r="F81"/>
  <c r="F82"/>
  <c r="F83"/>
  <c r="F92"/>
  <c r="F96"/>
  <c r="F99"/>
  <c r="D106"/>
  <c r="E106"/>
  <c r="F106"/>
  <c r="D113"/>
  <c r="E113"/>
  <c r="E236" s="1"/>
  <c r="F113"/>
  <c r="D142"/>
  <c r="E142"/>
  <c r="F142"/>
  <c r="D151"/>
  <c r="E151"/>
  <c r="F151"/>
  <c r="D193"/>
  <c r="E193"/>
  <c r="F193"/>
  <c r="D198"/>
  <c r="E198"/>
  <c r="F198"/>
  <c r="D202"/>
  <c r="E202"/>
  <c r="F202"/>
  <c r="D205"/>
  <c r="E205"/>
  <c r="F205"/>
  <c r="D227"/>
  <c r="E227"/>
  <c r="F227"/>
  <c r="D234"/>
  <c r="E234"/>
  <c r="F234"/>
  <c r="D236"/>
  <c r="F236"/>
  <c r="D267"/>
  <c r="E267"/>
  <c r="F267"/>
  <c r="D270"/>
  <c r="E270"/>
  <c r="D275"/>
  <c r="E275"/>
  <c r="D280"/>
  <c r="E280"/>
  <c r="D285"/>
  <c r="E285"/>
  <c r="E290"/>
  <c r="E321" s="1"/>
  <c r="B295"/>
  <c r="E295"/>
  <c r="E305"/>
  <c r="D305" s="1"/>
  <c r="D321" s="1"/>
  <c r="F320"/>
  <c r="F321" s="1"/>
  <c r="F445" s="1"/>
  <c r="B328"/>
  <c r="D328"/>
  <c r="E328"/>
  <c r="B333"/>
  <c r="D333"/>
  <c r="E333"/>
  <c r="B338"/>
  <c r="E338"/>
  <c r="E359" s="1"/>
  <c r="E343"/>
  <c r="D343" s="1"/>
  <c r="B348"/>
  <c r="D348"/>
  <c r="E348"/>
  <c r="B353"/>
  <c r="E353"/>
  <c r="F359"/>
  <c r="B361"/>
  <c r="F361"/>
  <c r="F366" s="1"/>
  <c r="D366"/>
  <c r="E366"/>
  <c r="D370"/>
  <c r="E370"/>
  <c r="F370"/>
  <c r="D377"/>
  <c r="E377"/>
  <c r="F377"/>
  <c r="D379"/>
  <c r="D384"/>
  <c r="D392"/>
  <c r="E392"/>
  <c r="D397"/>
  <c r="E397"/>
  <c r="F397"/>
  <c r="B399"/>
  <c r="E399"/>
  <c r="E404" s="1"/>
  <c r="D404"/>
  <c r="F404"/>
  <c r="E413"/>
  <c r="E444" s="1"/>
  <c r="B424"/>
  <c r="B429"/>
  <c r="D429"/>
  <c r="D434"/>
  <c r="E434"/>
  <c r="D436"/>
  <c r="E436"/>
  <c r="D441"/>
  <c r="E441"/>
  <c r="E442"/>
  <c r="E443"/>
  <c r="D444"/>
  <c r="F444"/>
  <c r="D462"/>
  <c r="E462"/>
  <c r="F462"/>
  <c r="D469"/>
  <c r="E469"/>
  <c r="F469"/>
  <c r="D472"/>
  <c r="D482" s="1"/>
  <c r="E472"/>
  <c r="F472"/>
  <c r="D478"/>
  <c r="E478"/>
  <c r="E482" s="1"/>
  <c r="F478"/>
  <c r="F482"/>
  <c r="D486"/>
  <c r="E486"/>
  <c r="F486"/>
  <c r="D500"/>
  <c r="D504"/>
  <c r="D505"/>
  <c r="D503" s="1"/>
  <c r="D502" s="1"/>
  <c r="D820" s="1"/>
  <c r="D506"/>
  <c r="D507"/>
  <c r="D508"/>
  <c r="E508"/>
  <c r="E503" s="1"/>
  <c r="E502" s="1"/>
  <c r="E820" s="1"/>
  <c r="F508"/>
  <c r="D509"/>
  <c r="D510"/>
  <c r="D511"/>
  <c r="D512"/>
  <c r="E512"/>
  <c r="F512"/>
  <c r="D513"/>
  <c r="E513"/>
  <c r="F513"/>
  <c r="F503" s="1"/>
  <c r="F502" s="1"/>
  <c r="F820" s="1"/>
  <c r="D514"/>
  <c r="E514"/>
  <c r="F514"/>
  <c r="D515"/>
  <c r="E515"/>
  <c r="F515"/>
  <c r="D516"/>
  <c r="E516"/>
  <c r="F516"/>
  <c r="D517"/>
  <c r="E517"/>
  <c r="F517"/>
  <c r="D518"/>
  <c r="D520"/>
  <c r="D521"/>
  <c r="E521"/>
  <c r="F521"/>
  <c r="D522"/>
  <c r="E522"/>
  <c r="F522"/>
  <c r="D523"/>
  <c r="D524"/>
  <c r="E524"/>
  <c r="F524"/>
  <c r="D525"/>
  <c r="E525"/>
  <c r="F525"/>
  <c r="D526"/>
  <c r="E526"/>
  <c r="F526"/>
  <c r="D527"/>
  <c r="E527"/>
  <c r="F527"/>
  <c r="D528"/>
  <c r="E528"/>
  <c r="F528"/>
  <c r="D529"/>
  <c r="E529"/>
  <c r="F529"/>
  <c r="D530"/>
  <c r="E530"/>
  <c r="F530"/>
  <c r="D531"/>
  <c r="E531"/>
  <c r="F531"/>
  <c r="D532"/>
  <c r="E532"/>
  <c r="F532"/>
  <c r="D533"/>
  <c r="E533"/>
  <c r="F533"/>
  <c r="D534"/>
  <c r="E534"/>
  <c r="F534"/>
  <c r="D535"/>
  <c r="D536"/>
  <c r="E536"/>
  <c r="F536"/>
  <c r="D537"/>
  <c r="E537"/>
  <c r="F537"/>
  <c r="D538"/>
  <c r="E538"/>
  <c r="F538"/>
  <c r="D539"/>
  <c r="E539"/>
  <c r="F539"/>
  <c r="D540"/>
  <c r="E540"/>
  <c r="F540"/>
  <c r="D541"/>
  <c r="E541"/>
  <c r="F541"/>
  <c r="D542"/>
  <c r="E542"/>
  <c r="F542"/>
  <c r="D543"/>
  <c r="D544"/>
  <c r="E544"/>
  <c r="F544"/>
  <c r="D545"/>
  <c r="E545"/>
  <c r="F545"/>
  <c r="D546"/>
  <c r="E546"/>
  <c r="F546"/>
  <c r="D547"/>
  <c r="E547"/>
  <c r="F547"/>
  <c r="D548"/>
  <c r="E548"/>
  <c r="F548"/>
  <c r="D549"/>
  <c r="E549"/>
  <c r="F549"/>
  <c r="D550"/>
  <c r="E550"/>
  <c r="F550"/>
  <c r="D551"/>
  <c r="E551"/>
  <c r="F551"/>
  <c r="D552"/>
  <c r="D553"/>
  <c r="D554"/>
  <c r="E554"/>
  <c r="F554"/>
  <c r="D555"/>
  <c r="E555"/>
  <c r="F555"/>
  <c r="D556"/>
  <c r="E556"/>
  <c r="F556"/>
  <c r="D557"/>
  <c r="E557"/>
  <c r="F557"/>
  <c r="D558"/>
  <c r="E558"/>
  <c r="F558"/>
  <c r="D559"/>
  <c r="E559"/>
  <c r="F559"/>
  <c r="D560"/>
  <c r="E560"/>
  <c r="F560"/>
  <c r="D561"/>
  <c r="E561"/>
  <c r="F561"/>
  <c r="D562"/>
  <c r="E562"/>
  <c r="F562"/>
  <c r="D563"/>
  <c r="E563"/>
  <c r="F563"/>
  <c r="D564"/>
  <c r="E564"/>
  <c r="F564"/>
  <c r="D565"/>
  <c r="E565"/>
  <c r="F565"/>
  <c r="D566"/>
  <c r="E566"/>
  <c r="F566"/>
  <c r="D567"/>
  <c r="E567"/>
  <c r="F567"/>
  <c r="D568"/>
  <c r="E568"/>
  <c r="F568"/>
  <c r="D569"/>
  <c r="E569"/>
  <c r="F569"/>
  <c r="D570"/>
  <c r="E570"/>
  <c r="F570"/>
  <c r="D571"/>
  <c r="E571"/>
  <c r="F571"/>
  <c r="D572"/>
  <c r="E572"/>
  <c r="F572"/>
  <c r="D573"/>
  <c r="E573"/>
  <c r="F573"/>
  <c r="D574"/>
  <c r="E574"/>
  <c r="F574"/>
  <c r="D575"/>
  <c r="E575"/>
  <c r="F575"/>
  <c r="D576"/>
  <c r="E576"/>
  <c r="F576"/>
  <c r="D577"/>
  <c r="E577"/>
  <c r="F577"/>
  <c r="D578"/>
  <c r="E578"/>
  <c r="F578"/>
  <c r="D579"/>
  <c r="E579"/>
  <c r="F579"/>
  <c r="D580"/>
  <c r="E580"/>
  <c r="F580"/>
  <c r="D581"/>
  <c r="E581"/>
  <c r="F581"/>
  <c r="D582"/>
  <c r="E582"/>
  <c r="F582"/>
  <c r="D583"/>
  <c r="E583"/>
  <c r="F583"/>
  <c r="D584"/>
  <c r="E584"/>
  <c r="F584"/>
  <c r="D585"/>
  <c r="E585"/>
  <c r="F585"/>
  <c r="D586"/>
  <c r="E586"/>
  <c r="F586"/>
  <c r="D587"/>
  <c r="E587"/>
  <c r="F587"/>
  <c r="D588"/>
  <c r="E588"/>
  <c r="F588"/>
  <c r="D589"/>
  <c r="D590"/>
  <c r="D591"/>
  <c r="D593"/>
  <c r="E593"/>
  <c r="F593"/>
  <c r="D594"/>
  <c r="E594"/>
  <c r="F594"/>
  <c r="D595"/>
  <c r="E595"/>
  <c r="F595"/>
  <c r="D596"/>
  <c r="E596"/>
  <c r="F596"/>
  <c r="D597"/>
  <c r="E597"/>
  <c r="F597"/>
  <c r="D598"/>
  <c r="E598"/>
  <c r="F598"/>
  <c r="D599"/>
  <c r="E599"/>
  <c r="F599"/>
  <c r="D600"/>
  <c r="E600"/>
  <c r="F600"/>
  <c r="D601"/>
  <c r="E601"/>
  <c r="F601"/>
  <c r="D602"/>
  <c r="E602"/>
  <c r="F602"/>
  <c r="D603"/>
  <c r="E603"/>
  <c r="F603"/>
  <c r="D604"/>
  <c r="E604"/>
  <c r="F604"/>
  <c r="D605"/>
  <c r="E605"/>
  <c r="F605"/>
  <c r="D606"/>
  <c r="E606"/>
  <c r="F606"/>
  <c r="D607"/>
  <c r="E607"/>
  <c r="F607"/>
  <c r="D608"/>
  <c r="E608"/>
  <c r="F608"/>
  <c r="D609"/>
  <c r="E609"/>
  <c r="F609"/>
  <c r="D610"/>
  <c r="E610"/>
  <c r="F610"/>
  <c r="D611"/>
  <c r="E611"/>
  <c r="F611"/>
  <c r="D612"/>
  <c r="E612"/>
  <c r="F612"/>
  <c r="D613"/>
  <c r="E613"/>
  <c r="F613"/>
  <c r="D614"/>
  <c r="E614"/>
  <c r="F614"/>
  <c r="D615"/>
  <c r="D616"/>
  <c r="D617"/>
  <c r="D618"/>
  <c r="F626"/>
  <c r="E627"/>
  <c r="F627"/>
  <c r="D629"/>
  <c r="D650"/>
  <c r="E650"/>
  <c r="F650"/>
  <c r="D658"/>
  <c r="E658"/>
  <c r="F658"/>
  <c r="D659"/>
  <c r="E659"/>
  <c r="F659"/>
  <c r="D660"/>
  <c r="E660"/>
  <c r="F660"/>
  <c r="D661"/>
  <c r="E661"/>
  <c r="F661"/>
  <c r="D665"/>
  <c r="E665"/>
  <c r="F665"/>
  <c r="D674"/>
  <c r="E674"/>
  <c r="F674"/>
  <c r="D675"/>
  <c r="E675"/>
  <c r="F675"/>
  <c r="D676"/>
  <c r="E676"/>
  <c r="F676"/>
  <c r="D677"/>
  <c r="E677"/>
  <c r="F677"/>
  <c r="D678"/>
  <c r="E678"/>
  <c r="F678"/>
  <c r="D679"/>
  <c r="E679"/>
  <c r="F679"/>
  <c r="D680"/>
  <c r="E680"/>
  <c r="F680"/>
  <c r="D681"/>
  <c r="D683"/>
  <c r="E683"/>
  <c r="F683"/>
  <c r="D684"/>
  <c r="E684"/>
  <c r="F684"/>
  <c r="D685"/>
  <c r="E685"/>
  <c r="F685"/>
  <c r="D686"/>
  <c r="E686"/>
  <c r="F686"/>
  <c r="D687"/>
  <c r="E687"/>
  <c r="F687"/>
  <c r="D688"/>
  <c r="E688"/>
  <c r="F688"/>
  <c r="D691"/>
  <c r="E691"/>
  <c r="F691"/>
  <c r="D692"/>
  <c r="E692"/>
  <c r="F692"/>
  <c r="D693"/>
  <c r="E693"/>
  <c r="F693"/>
  <c r="D694"/>
  <c r="D696"/>
  <c r="E696"/>
  <c r="F696"/>
  <c r="D697"/>
  <c r="E697"/>
  <c r="F697"/>
  <c r="D698"/>
  <c r="E698"/>
  <c r="F698"/>
  <c r="D699"/>
  <c r="E699"/>
  <c r="F699"/>
  <c r="D705"/>
  <c r="E705"/>
  <c r="F705"/>
  <c r="D727"/>
  <c r="E727"/>
  <c r="F727"/>
  <c r="D732"/>
  <c r="E732"/>
  <c r="F732"/>
  <c r="D733"/>
  <c r="E733"/>
  <c r="F733"/>
  <c r="D734"/>
  <c r="E734"/>
  <c r="F734"/>
  <c r="D739"/>
  <c r="E739"/>
  <c r="F739"/>
  <c r="D742"/>
  <c r="E742"/>
  <c r="F742"/>
  <c r="D743"/>
  <c r="E743"/>
  <c r="F743"/>
  <c r="D744"/>
  <c r="D745"/>
  <c r="D746"/>
  <c r="D747"/>
  <c r="D751"/>
  <c r="D752"/>
  <c r="E752"/>
  <c r="F752"/>
  <c r="D753"/>
  <c r="D754"/>
  <c r="D755"/>
  <c r="D756"/>
  <c r="D757"/>
  <c r="E757"/>
  <c r="F757"/>
  <c r="D758"/>
  <c r="D759"/>
  <c r="D760"/>
  <c r="D761"/>
  <c r="D762"/>
  <c r="D763"/>
  <c r="D764"/>
  <c r="D765"/>
  <c r="D766"/>
  <c r="D767"/>
  <c r="D768"/>
  <c r="D769"/>
  <c r="D770"/>
  <c r="D771"/>
  <c r="D772"/>
  <c r="D773"/>
  <c r="E773"/>
  <c r="D774"/>
  <c r="E774"/>
  <c r="D775"/>
  <c r="E775"/>
  <c r="D776"/>
  <c r="E776"/>
  <c r="D777"/>
  <c r="E777"/>
  <c r="D778"/>
  <c r="E778"/>
  <c r="D784"/>
  <c r="E784"/>
  <c r="D785"/>
  <c r="E785"/>
  <c r="D787"/>
  <c r="E787"/>
  <c r="D788"/>
  <c r="E788"/>
  <c r="D789"/>
  <c r="D790"/>
  <c r="E790"/>
  <c r="F790"/>
  <c r="D798"/>
  <c r="E798"/>
  <c r="F798"/>
  <c r="F799"/>
  <c r="D802"/>
  <c r="E802"/>
  <c r="F802"/>
  <c r="D804"/>
  <c r="E804"/>
  <c r="F804"/>
  <c r="D817"/>
  <c r="E817"/>
  <c r="F817"/>
  <c r="D822"/>
  <c r="E822"/>
  <c r="F858"/>
  <c r="F860"/>
  <c r="F862"/>
  <c r="F865"/>
  <c r="F822" s="1"/>
  <c r="F869"/>
  <c r="D993"/>
  <c r="D1070" s="1"/>
  <c r="F999"/>
  <c r="F1006"/>
  <c r="F993" s="1"/>
  <c r="F1070" s="1"/>
  <c r="D1038"/>
  <c r="E1038"/>
  <c r="E993" s="1"/>
  <c r="E1070" s="1"/>
  <c r="E1042"/>
  <c r="F1042"/>
  <c r="D1058"/>
  <c r="E1058"/>
  <c r="D1059"/>
  <c r="E1059"/>
  <c r="D1062"/>
  <c r="E1062"/>
  <c r="D1096"/>
  <c r="D1119" s="1"/>
  <c r="F1096"/>
  <c r="F1119" s="1"/>
  <c r="D1101"/>
  <c r="D1108"/>
  <c r="F1110"/>
  <c r="D1113"/>
  <c r="E1117"/>
  <c r="F1117"/>
  <c r="F1118"/>
  <c r="E1119"/>
  <c r="D1135"/>
  <c r="E1135"/>
  <c r="F1135"/>
  <c r="E1138"/>
  <c r="D1148"/>
  <c r="E1148"/>
  <c r="F1148"/>
  <c r="D1172"/>
  <c r="E1172"/>
  <c r="F1172"/>
  <c r="D1176"/>
  <c r="E1176"/>
  <c r="F1176"/>
  <c r="D1181"/>
  <c r="E1181"/>
  <c r="F1181"/>
  <c r="D1229"/>
  <c r="E1229"/>
  <c r="F1229"/>
  <c r="D1236"/>
  <c r="E1236"/>
  <c r="F1236"/>
  <c r="E445" l="1"/>
  <c r="D445"/>
  <c r="D338"/>
  <c r="D359" s="1"/>
</calcChain>
</file>

<file path=xl/sharedStrings.xml><?xml version="1.0" encoding="utf-8"?>
<sst xmlns="http://schemas.openxmlformats.org/spreadsheetml/2006/main" count="3619" uniqueCount="1863">
  <si>
    <t>Х</t>
  </si>
  <si>
    <t>ВСЬОГО:</t>
  </si>
  <si>
    <t>реставрація пам’ятки історії місцевого значення</t>
  </si>
  <si>
    <t>Реставрація пам’ятки історії місцевого значення, в якій навчався Ш.Кобер - дитяча музична школа №8 по вул. 1 Госпітальна, 1 в м. Миколаєві (першочергові  протиаварійні роботи) (Коригування)</t>
  </si>
  <si>
    <t>м.Миколаїв, вул. 1 Госпітальна, 1</t>
  </si>
  <si>
    <t xml:space="preserve">ТОВ "Антарес-Буд", ФОП  </t>
  </si>
  <si>
    <t>капітальний ремонт споруди, благоустрій прилеглої території</t>
  </si>
  <si>
    <t>Капітальний ремонт споруди "Корабель" з басейном та благоустроєм прилеглої території  у БУ КІК "ДМ "Казка" в м. Миколаєві, в т.ч. проектно-вишукувальні роботи та експертиза</t>
  </si>
  <si>
    <t xml:space="preserve">м. Миколаїв, вул. Декабристів, 38а </t>
  </si>
  <si>
    <t>ТОВ "АС-СІТІБУД"</t>
  </si>
  <si>
    <t>капітальний ремонт споруди</t>
  </si>
  <si>
    <t>Капітальний ремонт Миколаївського міського палацу культури "Молодіжний" за адресою: м.Миколаїв, вул. Озерна, 12</t>
  </si>
  <si>
    <t>м.Миколаїв, вул. Озерна, 12</t>
  </si>
  <si>
    <t xml:space="preserve"> ремонт внутрішніх приміщень, фасаду, реконструкція глядацької зали, ремонт мереж теплопостачання, водовідведення та освітлення</t>
  </si>
  <si>
    <t xml:space="preserve">Реконструкція Миколаївського міського палацу культури "Молодіжний", I та II черга за адресою: м.Миколаїв, Інгульський район, вул.Театральна (Васляєва),1. Коригування.» </t>
  </si>
  <si>
    <t>м. Миколаїв, вул. Театральна,                буд. 1</t>
  </si>
  <si>
    <t>ПрАТ "БК"Житлопромбуд-8"</t>
  </si>
  <si>
    <t xml:space="preserve"> будівництво обладнаного майданчика та доріжок для активного катання з різними рельєфами і профілями</t>
  </si>
  <si>
    <t xml:space="preserve">Нове будівництво об’єкту «ALPIN PARK Миколаїв Молодіжний - єдиний драйв - парк на півдні України!!!»,  м. Миколаїв, вул. Театральна,1 </t>
  </si>
  <si>
    <t>Управління з питань культури та охорони культурної спадщини ММР</t>
  </si>
  <si>
    <t xml:space="preserve">ФОП Бердник А.М.         </t>
  </si>
  <si>
    <t xml:space="preserve">Капітальний ремонт, в т.ч. проектно-вишукувальні роботи та експертиза  </t>
  </si>
  <si>
    <t>Капітальний ремонт акушерського відділення пологового будинку №3</t>
  </si>
  <si>
    <t>м.Миколаїв, вул.Київська, 3</t>
  </si>
  <si>
    <t xml:space="preserve">ТОВ "СИТИТОП"  </t>
  </si>
  <si>
    <t>Капітальний ремонт частини покрівлі будівлі ЗОШ №48</t>
  </si>
  <si>
    <t>м.Миколаїв, вул.Генерала Попеля, 164</t>
  </si>
  <si>
    <t xml:space="preserve">ТОВ "СИТИТОП"   </t>
  </si>
  <si>
    <t>Капітальний ремонт, в т.ч. проектно-вишукувальні роботи та експертиза</t>
  </si>
  <si>
    <t>Капітальний ремонт частини покрівлі будівлі ЗОШ №39</t>
  </si>
  <si>
    <t>м.Миколаїв, вул.Нікольська,6</t>
  </si>
  <si>
    <t xml:space="preserve">ТОВ "Будальянс"   </t>
  </si>
  <si>
    <t xml:space="preserve">Капітальний ремонт, в т.ч. проектно-вишукувальні роботи та експертиза, з облаштуванням мультиігрового спортивного майданчика  </t>
  </si>
  <si>
    <t>Капітальний ремонт частини покрівлі Миколаївського міського палацу культури "Корабельний"</t>
  </si>
  <si>
    <t>м.Миколаїв, пр.Богоявленський, 328</t>
  </si>
  <si>
    <t>Реставрація, в т.ч. проектно-вишукувальні роботи та експертиза</t>
  </si>
  <si>
    <t xml:space="preserve">Реставрація Першої Української гімназії ім. М.Аркаса </t>
  </si>
  <si>
    <t>вул. Нікольській, 34 в м. Миколаєві</t>
  </si>
  <si>
    <t xml:space="preserve">ТОВ"Ласкардо" </t>
  </si>
  <si>
    <t>Реставрація будівлі по вул. Шевченка, 40</t>
  </si>
  <si>
    <t>вул. Шевченка, 40 у м. Миколаєві</t>
  </si>
  <si>
    <t xml:space="preserve">Заміна ліфта, в т.ч. проектно-вишукувальні роботи та експертиза  </t>
  </si>
  <si>
    <t>Реставрація будівлі виконавчого комітету Миколаївської міської ради  (заміна ліфта)</t>
  </si>
  <si>
    <t>вул. Адміральській, 20 у м. Миколаєві</t>
  </si>
  <si>
    <t>Нове будівництво, в т.ч. проектно-вишукувальні роботи та експертиза</t>
  </si>
  <si>
    <t>Нове будівництво берегоукріплювальної споруди вздовж  вул .Лазурної</t>
  </si>
  <si>
    <t>вздовж  вул .Лазурної у м. Миколаєві</t>
  </si>
  <si>
    <t xml:space="preserve">ТОВ "Автограф-Н"  </t>
  </si>
  <si>
    <t xml:space="preserve">КУ Миколаївський зоопарк. Нове будівництво літніх вольєрів "Острів звірів" </t>
  </si>
  <si>
    <t>пл. М.Леонтовича, 1 у м. Миколаєві</t>
  </si>
  <si>
    <t xml:space="preserve">Нове будівництво будівлі нежитлового призначення </t>
  </si>
  <si>
    <t>м. Миколаїв, вул. Озерна, 43</t>
  </si>
  <si>
    <t xml:space="preserve">ТОВ "ІНЖИНІРИНГ-ГРУП"         </t>
  </si>
  <si>
    <t>Реконструкція, в т.ч. проектно-вишукувальні роботи та експертиза</t>
  </si>
  <si>
    <t>Реконструкція будівлі дитячої музичної школи № 5</t>
  </si>
  <si>
    <t>вул. Дачна, 50 у м. Миколаєві</t>
  </si>
  <si>
    <t xml:space="preserve">ТОВ"ВІК ТЕХНОЛОГІЇ"        </t>
  </si>
  <si>
    <t>Нове будівництво каналізації на території житлового фонду приватного сектору у мікрорайоні Ялти</t>
  </si>
  <si>
    <t>мікрорайоні Ялти у м. Миколаєві</t>
  </si>
  <si>
    <t xml:space="preserve">ТДВ "Миколаївбудмонтаж"       </t>
  </si>
  <si>
    <t>Капітальний ремонт системи опалення та покрівлі з утепленням фасаду будівлі СК "Надія" (СДЮСШОР №4)</t>
  </si>
  <si>
    <t>вул. Генерала Карпенка, 40А у м. Миколаєві</t>
  </si>
  <si>
    <t>Виготовлення ПКД ФОП Любенко І.В.</t>
  </si>
  <si>
    <t>Капітальний ремонт будівлі  СК "Надія" (СДЮСШОР № 4)</t>
  </si>
  <si>
    <t>вул. Генерала Карпенка 40а  у м. Миколаєві</t>
  </si>
  <si>
    <t xml:space="preserve">Технічний нагляд                ТОВ АБК "Завтра"      </t>
  </si>
  <si>
    <t xml:space="preserve">Капітальний ремонт частини будівлі Миколаївського міського центру соціальних служб для сім'ї, дітей та молоді </t>
  </si>
  <si>
    <t>пр. Богоявленський, 340/1-В у м. Миколаєві</t>
  </si>
  <si>
    <t xml:space="preserve">ТОВ БК "Контакт-жилбуд"       </t>
  </si>
  <si>
    <t>Капітальний ремонт будівлі для розміщення КУ ММР "Міський центр підтримки внутрішньо переміщених осіб та ветеранів АТО"</t>
  </si>
  <si>
    <t>пров. Кобера, 13А/8 у м. Миколаєві</t>
  </si>
  <si>
    <t xml:space="preserve">Реконструкція приймального відділення КНП ММР "Міська лікарня швидкої медичної допомоги" </t>
  </si>
  <si>
    <t>вул. Корабелів, 14В, м.Миколаїв</t>
  </si>
  <si>
    <t xml:space="preserve">Капітальний ремонт приймального відділення Комунального некомерційного підприємства Миколаївської іської ради "Міська лікарня №3" </t>
  </si>
  <si>
    <t xml:space="preserve"> вул. Космонавтів, 97, м.Миколаїв</t>
  </si>
  <si>
    <t xml:space="preserve">Реконструкція сімейної амбулаторії № 5 КНП ММР "ЦПМСД №1" </t>
  </si>
  <si>
    <t>просп. Богоявленський, 6, м. Миколаїв</t>
  </si>
  <si>
    <t>ТОВ "ІНЖ-СТРОЙ"</t>
  </si>
  <si>
    <t>Капітальний ремонт приміщення КНП ММР "Міська лікарня №1" під розміщення ангіографічного обладнання</t>
  </si>
  <si>
    <t>м. Миколаїв, вул. 2 Екіпажна, 4</t>
  </si>
  <si>
    <t xml:space="preserve">ТОВ"Ласкардо"    </t>
  </si>
  <si>
    <t xml:space="preserve">Капітальний ремонт приміщень сімейної амбулаторії № 3 КНП ММР "ЦПМСД № 4" </t>
  </si>
  <si>
    <t xml:space="preserve">вул. Архітектора Старова, №4А, м. Миколаїв </t>
  </si>
  <si>
    <t>ТОВ "ІНЖИНІРИНГ-ГРУП"</t>
  </si>
  <si>
    <t xml:space="preserve">Нове будівництво сімейної амбулаторії № 5 комунального некомерційного підприємства Центру первинної медико - санітарної допомоги № 4 </t>
  </si>
  <si>
    <t>мкр. Матвіївка, вул. Лісова, біля будинку №5</t>
  </si>
  <si>
    <t xml:space="preserve">Реконструкція спортивного майданчику ЗОШ №44 </t>
  </si>
  <si>
    <t xml:space="preserve">вул. Знаменській, 2/6 у м. Миколаєві </t>
  </si>
  <si>
    <t xml:space="preserve">Реконструкція з прибудовою будівлі Миколаївської гімназії № 41 </t>
  </si>
  <si>
    <t>м. Миколаїв, вул. Театральна, 41</t>
  </si>
  <si>
    <t xml:space="preserve">Реконструкція баскетбольного майданчика гімназії №4 </t>
  </si>
  <si>
    <t>вул.Лазурній, 48 у м.Миколаєві</t>
  </si>
  <si>
    <t xml:space="preserve">ТОВ "КМ СПОРТ"   </t>
  </si>
  <si>
    <t xml:space="preserve">Реконструкція спортивного майданчика ЗОШ №53 </t>
  </si>
  <si>
    <t xml:space="preserve">вул. Потьомкінській, 154 у м.Миколаєві </t>
  </si>
  <si>
    <t>Виготовлення ПКД ТОВ ПБК "УКРМАЖОР- ДОМ"</t>
  </si>
  <si>
    <t>Реконструкція нежитлової будівлі під розміщення дитячого дошкільного закладу</t>
  </si>
  <si>
    <t>м. Миколаїв, вул. Космонавтів, 144а/1</t>
  </si>
  <si>
    <t>Нове будівництво дошкільного навчального закладу №67</t>
  </si>
  <si>
    <t>пр.Миру, 7/1в м.Миколаєві</t>
  </si>
  <si>
    <t xml:space="preserve">Нове будівництво дошкільного навчального закладу по вул. Променева </t>
  </si>
  <si>
    <t xml:space="preserve"> вул. Променева у мікрорайоні "Північний" м. Миколаєві</t>
  </si>
  <si>
    <t>АТ "Миколаївобленерго"</t>
  </si>
  <si>
    <t>Нове будівництво котельні ЗОШ № 4</t>
  </si>
  <si>
    <t xml:space="preserve">вул. М.Морська, 78 у м. Миколаєві </t>
  </si>
  <si>
    <t>АТ Мик. Обл. "Південна"</t>
  </si>
  <si>
    <t>Нове будівництво котельні ЗОШ № 29</t>
  </si>
  <si>
    <t>вул. Ватутіна, 124 у м. Миколаєві</t>
  </si>
  <si>
    <t xml:space="preserve">ТОВ "ПІВДЕНЬБУД МИКОЛАЇВ ЛТД" </t>
  </si>
  <si>
    <t>Капітальний ремонт спортивної зали ЗОШ №20</t>
  </si>
  <si>
    <t xml:space="preserve"> вул. Космонавтів, 70 у м. Миколаєві</t>
  </si>
  <si>
    <t xml:space="preserve"> Виготовлення ПКД                  ФОП Кирюшко О.В.       </t>
  </si>
  <si>
    <t xml:space="preserve">Капітальний ремонт автоматичної пожежної сигналізації та оповіщення про пожежу Миколаївської загальноосвітньої школи №19 (філія) </t>
  </si>
  <si>
    <t>м. Миколаїв, вул. Чайковського, 25</t>
  </si>
  <si>
    <t xml:space="preserve">Капітальний ремонт автоматичної пожежної сигналізації та оповіщення про пожежу дитячого дошкільного закладу №95 </t>
  </si>
  <si>
    <t>м. Миколаїв, вул. Космонавтів, 67-А</t>
  </si>
  <si>
    <t xml:space="preserve">Виготовлення ПКД              ФОП Сорочан С.В.              </t>
  </si>
  <si>
    <t xml:space="preserve">Капітальний ремонт будівлі з улаштуванням протидимної системи вентиляції Будинку творчості дітей та юнацтва Інгульського району </t>
  </si>
  <si>
    <t>вул. Космонавтів, 128-А у м. Миколаєві</t>
  </si>
  <si>
    <t xml:space="preserve">Капітальний ремонт системи автоматичного пожежогасіння в приміщенні харчоблоку ДНЗ № 12 </t>
  </si>
  <si>
    <t>вул. Лазурній, 22 у м. Миколаєві</t>
  </si>
  <si>
    <t xml:space="preserve">ТОВ БК "Контакт-жилбуд"    </t>
  </si>
  <si>
    <t>Капітальний ремонт будівлі загальноосвітньої школи №51</t>
  </si>
  <si>
    <t>пров. Парусний, 3-а у м. Миколаєві</t>
  </si>
  <si>
    <t>Капітальний ремонт будівлі Миколаївської загальноосвітньої школи І-ІІІ ступенів № 15</t>
  </si>
  <si>
    <t>вул. Потьомкінська, 22-а, м. Миколаїв</t>
  </si>
  <si>
    <t xml:space="preserve">ТОВ "АЛЬФА БУД МОНТАЖ"   </t>
  </si>
  <si>
    <t>Капітальний ремонт спортзалів ЗОШ № 53</t>
  </si>
  <si>
    <t>вул. Потьомкінська, 154 у м. Миколаєві</t>
  </si>
  <si>
    <t xml:space="preserve">ТОВ"Компанія Нікон-Буд"       </t>
  </si>
  <si>
    <t>Капітальний ремонт футбольного поля зі штучним покриттям ЗОШ № 48</t>
  </si>
  <si>
    <t>вул. Генерала Попеля, 164 у м. Миколаєві</t>
  </si>
  <si>
    <t>Капітальний ремонт будівлі ЗОШ № 32</t>
  </si>
  <si>
    <t>вул. Гайдара, 1 (Оберегова) у м. Миколаєві</t>
  </si>
  <si>
    <t xml:space="preserve">ПП "ОЛКРІС"           </t>
  </si>
  <si>
    <t>Капітальний ремонт спортивного майданчику ЗОШ № 53</t>
  </si>
  <si>
    <t>Капітальний ремонт спортивного майданчику ЗОШ № 12</t>
  </si>
  <si>
    <t xml:space="preserve">вул.1  Екіпажна, 2 у м. Миколаєві </t>
  </si>
  <si>
    <t xml:space="preserve">Виготовлення ПКД,         ФОП Павлов А.А.    </t>
  </si>
  <si>
    <t>Капітальний ремонт будівлі ДНЗ № 94</t>
  </si>
  <si>
    <t>вул. Севастопольській, 43 у м. Миколаєві.</t>
  </si>
  <si>
    <t>Виготовлення ПКД, ТОВ АБК "Завтра"</t>
  </si>
  <si>
    <t xml:space="preserve">Капітальний ремонт будівлі ДНЗ №60 </t>
  </si>
  <si>
    <t>вул. Театральна, 25/1 у м. Миколаєві</t>
  </si>
  <si>
    <t>ТОВ " Інжиніринг - груп"</t>
  </si>
  <si>
    <t xml:space="preserve">Капітальний ремонт будівлі ДНЗ №75 </t>
  </si>
  <si>
    <t>вул. 3 Лінія, 17 у м. Миколаєві</t>
  </si>
  <si>
    <t>Управління капітального будівництва Миколаївської міської ради</t>
  </si>
  <si>
    <t>Всього по КПКВК 1218110</t>
  </si>
  <si>
    <t>ТОВ "Будтехнології МК"</t>
  </si>
  <si>
    <t xml:space="preserve">Кап.рем.пок.жб.в.3 Лінія, 17 </t>
  </si>
  <si>
    <t>Кап.рем.пок.жб.в.Китоб.,7 м.Мик</t>
  </si>
  <si>
    <t>ФОП ГРИГОРЕНКО Д.С.</t>
  </si>
  <si>
    <t>ПКД</t>
  </si>
  <si>
    <t xml:space="preserve">Видатки резервного фонду НС 24.02.2020 (Згідно окремо затвердженого переліку невідкладних заходів) </t>
  </si>
  <si>
    <t>1218110   Заходи із запобігання та ліквідації надзвичайних ситуацій та наслідків стихійного лиха</t>
  </si>
  <si>
    <t>Всього по КПКВК 1217361</t>
  </si>
  <si>
    <t>ТОВ "ВIК ТЕХНОЛОГIЇ"</t>
  </si>
  <si>
    <t>Інші завершальні будівельні роботи</t>
  </si>
  <si>
    <t>Управління з контролю за ремонтом,реконструкцією, будівництвом, газифікацією комунальних об'єктів та житла при ДЖКГ ММР</t>
  </si>
  <si>
    <t>Технагляд</t>
  </si>
  <si>
    <t>Нове будівництво дюкеру через річку Південний Буг та магістральних мереж водопостачання мікрорайону Варварівка у м. Миколаєві, у т.ч. проектні роботи та експертиза</t>
  </si>
  <si>
    <t>1217361 Співфінансування інвестиційних проектів, що реалізуються за рахунок коштів державного фонду регіонального розвитку</t>
  </si>
  <si>
    <t>Всього по КПКВК 1217310</t>
  </si>
  <si>
    <t>КП ММР "КАПІТАЛЬНЕ БУДІВНИЦТВО М. МИКОЛАЄВА"</t>
  </si>
  <si>
    <t>Нове будівництво тролейбусної лінії по вул.Лазурній та вул. Озерній у м. Миколаєві, у тому числі коригування  та експертиза проектно-кошторисної документації</t>
  </si>
  <si>
    <t>Реконструкція дороги по вул. Національної гвардії від вул. Доктора Самойловича до вул. Олега Ольжича в Корабельному районі м. Миколаєва, у т.ч. проектно-вишукувальні роботи та експертиза</t>
  </si>
  <si>
    <t>Реконструкція території рекреаційного призначення, скверу «Бойової слави» розташованого по вул. Озерній (Червоних Майовщиків), у районі житлових будинків №№ 25-29, 35 в Заводському районі міста Миколаєва,  у тому числі проектні роботи та експертиза</t>
  </si>
  <si>
    <t>Реконструкція скверу «Миколаївський»  – території рекреаційного призначення, розташованої по вул.  Космонавтів біля ЗОШ № 20, будинків №№ 68-а, 70 по вул. Миколаївській у Інгульському (Ленінському) районі м. Миколаєва, у тому числі коригування проекту та експертиза</t>
  </si>
  <si>
    <t>ТОВ Новіком Інновейшен</t>
  </si>
  <si>
    <t>Реконструкція перехрестя по вул.Генерала Карпенка та вул.Крилова в м.Миколаєві, в тому числі передпроектні, проектні роботи та експертиза</t>
  </si>
  <si>
    <t>ТОВ "ТЕТРАСТРОЙ"</t>
  </si>
  <si>
    <t>Реконструкція скверу  «Манганарівський» («Пролетарський»),  обмеженого вулицями Адміральською, 1-ю Слобідською, Нікольською, Інженерною в Центральному районі м.Миколаєва,  у тому числі коригування проекту та експертиза</t>
  </si>
  <si>
    <t>ТОВ "УРБАН КОНСТРАКТ"</t>
  </si>
  <si>
    <t>ПКД. Коригування</t>
  </si>
  <si>
    <t>Реконструкція площі Соборної  в Центральному районі  м.Миколаєва,  у тому числі коригування проекту та експертиза</t>
  </si>
  <si>
    <t>Нове будівництво вуличних мереж водопостачання у мкр. Варварівка в м. Миколаєві, у тому числі проектно-вишукувальні роботи та експертиза</t>
  </si>
  <si>
    <t>Нове будівництво мереж водовідведення та напірного колектору у мкр. Варварівка в м. Миколаєві, у т.ч. проектно-вишукувальні роботи та експертиза</t>
  </si>
  <si>
    <t>Нове будівництво тролейбусної лінії по пр. Богоявленському від міського автовокзалу до вул. Гагаріна в м. Миколаєві, в т.ч. проектно-вишукувальні роботи та експертиза</t>
  </si>
  <si>
    <t xml:space="preserve">Нове будівництво світлофорного об'єкта в м.Миколаєві по вул. Малко-Тернівській ріг вул. Архітектора Старова,  у тому числі проектні роботи та експертиза </t>
  </si>
  <si>
    <t xml:space="preserve">Нове будівництво світлофорного об'єкта в м.Миколаєві по пр. Героїв України в районі церкви,  у тому числі проектні роботи та експертиза </t>
  </si>
  <si>
    <t>Нове будівництво світлофорного об'єкту в м.Миколаєві по вул. Херсонське шосе ріг вул.Новозаводської, у тому числі коригування та експертиза проектно-кошторисної документації</t>
  </si>
  <si>
    <t>станд.одноф.приєд.ел.уст.до ел.мер.</t>
  </si>
  <si>
    <t>ТОВ Агрофон-Проект</t>
  </si>
  <si>
    <t xml:space="preserve">Нове будівництво світлофорного об'єкту  в районі військової частини по пр. Героїв України, 60 (м.Миколаїв, Миколаївська область),  у тому числі проектні роботи та експертиза </t>
  </si>
  <si>
    <t>Нове будівництво світлофорного об’єкту на перехресті вул. 1 Лінія та пр. Миру у м.Миколаєві, у тому числі проектні роботи та експертиза</t>
  </si>
  <si>
    <t>Нове будівництво світлофорного об’єкта в м.Миколаєві по пр. Центральному ріг вул. 8 Березня, у т.ч. проектні роботи та експертиза</t>
  </si>
  <si>
    <t>КСМЕП</t>
  </si>
  <si>
    <t>Нове будівництво світлофорного об'єкта в м.Миколаєві по вул. Веселинівській ріг вул.Урожайної, у т.ч. проектні роботи та експертиза</t>
  </si>
  <si>
    <t>Нове будівництво світлофорного об'єкта в м.Миколаєві по пр. Богоявленському ріг вул.Анатолія Олійника, у т.ч. проектні роботи та експертиза</t>
  </si>
  <si>
    <t>Нове будівництва світлофорного об’єкта в м.Миколаєві на перехресті вул. Великої Морської та вул. Московської, у т.ч. проектні роботи та експертиза</t>
  </si>
  <si>
    <t>Нове будівництво світлофорного об'єкту в м.Миколаєві по вул. Троїцькій ріг вул.Новозаводської, у тому числі коригування та експертиза проектно-кошторисної документації</t>
  </si>
  <si>
    <t>Нове будівництво світлофорного об'єкту в м.Миколаєві по вул. Космонавтів ріг вул. Турбінної, у тому числі коригування та експертиза проектно-кошторисної документації</t>
  </si>
  <si>
    <t>1217310  Будівництво об'єктів житлово-комунального господарства</t>
  </si>
  <si>
    <t>Всього по КПКВК 1217461</t>
  </si>
  <si>
    <t>Капітальний ремонт дорожнього покриття з облаштуванням заїзної кишені вздовж буд.№ 48 по вул. Херсонське шосе в м. Миколаєві</t>
  </si>
  <si>
    <t>Капітальний ремонт дорожнього покриття по  вул. Пушкінська  ріг вулиці Набережна, з облаштуванням заїзної кишені в м. Миколаєві</t>
  </si>
  <si>
    <t>Капітальний ремонт дорожнього покриття по вул. Будівельників від пр. Богоявленський  до вул. Кузнецька в м. Миколаєві (ПКД)</t>
  </si>
  <si>
    <t>Капітальний ремонт дорожнього покриття по вул. 9-а Слобідська від вул. Погранична до вул. Кузнецька в м. Миколаєві (ПКД)</t>
  </si>
  <si>
    <t>Капітальний ремонт дорожнього покриття по вул. Космонавтів від пр. Богоявленський до вул. 28-ї Армії в м. Миколаєві (ПКД)</t>
  </si>
  <si>
    <t>Капітальний ремонт дорожнього покриття по вул. Шевченка від вул. Мала Морська до вул. Громадянська в м. Миколаєві (ПКД)</t>
  </si>
  <si>
    <t>Капітальний ремонт вулично-дорожньої мережі по вул. Чкалова від Московська до вул. Соборна в м. Миколаєві</t>
  </si>
  <si>
    <t>ФОП Григоренко Д.С.</t>
  </si>
  <si>
    <t>Капітальний ремонт вулично-дорожньої мережі по вул. Нікольська від вул. Соборна до вул. Пушкінська в м. Миколаєві</t>
  </si>
  <si>
    <t>ТОВ "Макромир-Проект"</t>
  </si>
  <si>
    <t>ТОВ "НАВЕКАСТРОЙ"</t>
  </si>
  <si>
    <t>Кап.рем.вул-дор.мер.по в.Новозаводська від в.Херсонське шосе до в.Китобоїв</t>
  </si>
  <si>
    <t>Капітальний ремонт вулично-дорожньої мережі по вул. Новозаводська від вул. Херсонське шосе до вул. Китобоїв в м. Миколаєві</t>
  </si>
  <si>
    <t>Капітальний ремонт дорожнього покриття по вул. Погранична від вул. Пушкінська до вул. Московська в м. Миколаєві</t>
  </si>
  <si>
    <t xml:space="preserve">1217461 Утримання та розвиток  автомобільних доріг та транспортної інфраструктури </t>
  </si>
  <si>
    <t>Всього по КПКВК 1216016</t>
  </si>
  <si>
    <t>Виготовлення ПКД</t>
  </si>
  <si>
    <t>вул. Миколаївська, 15</t>
  </si>
  <si>
    <t>пров. 1 Індивідуальний, 3</t>
  </si>
  <si>
    <t>пров. Молодогвардійський, 8</t>
  </si>
  <si>
    <t>пров. Молодогвардійський, 6</t>
  </si>
  <si>
    <t>вул. Чайковського, 37</t>
  </si>
  <si>
    <t>вул. Арх. Старова, 6Б</t>
  </si>
  <si>
    <t>ТОВ "НІК-ІНСЕРВІС"</t>
  </si>
  <si>
    <t>ФОП Мігунова І.І.</t>
  </si>
  <si>
    <t>Житлові будинки (згідно приписів теплопостачальних  підприємств після закінчення опалювального  періоду)</t>
  </si>
  <si>
    <t>Капітальний ремонт окремих вузлів обладнання теплового вводу в житловий будинок (капітальний ремонт /заміна приладів обліку тепла) вул. Арх. Старова, 6А</t>
  </si>
  <si>
    <t>вул. Арх. Старова, 6А</t>
  </si>
  <si>
    <t>Капітальний ремонт окремих вузлів обладнання теплового вводу в житловий будинок (капітальний ремонт /заміна приладів обліку тепла) вул.  Київська, 4</t>
  </si>
  <si>
    <t>вул.  Київська, 4</t>
  </si>
  <si>
    <t>Капітальний ремонт окремих вузлів обладнання теплового вводу в житловий будинок (капітальний ремонт /заміна приладів обліку тепла) вул. Набережна, 7</t>
  </si>
  <si>
    <t>вул. Набережна, 7</t>
  </si>
  <si>
    <t>ТОВ "Нік-Інсервіс"</t>
  </si>
  <si>
    <t>заміна приладів обліку тепла</t>
  </si>
  <si>
    <t xml:space="preserve">Капітальний ремонт окремих вузлів обладнання теплового вводу в житловий будинок (капітальний ремонт /заміна приладів обліку тепла) пр. Центральний, 76    </t>
  </si>
  <si>
    <t xml:space="preserve">пр. Центральний, 76                    </t>
  </si>
  <si>
    <t>Капітальний ремонт окремих вузлів обладнання теплового вводу в житловий будинок по пр. Миру, 25  в м.Миколаєві</t>
  </si>
  <si>
    <t>пр. Миру, 25</t>
  </si>
  <si>
    <t>1216016 Впровадження засобів обліку витрат та регулювання споживання води та теплової енергії</t>
  </si>
  <si>
    <t>Всього по КПКВК 1216030</t>
  </si>
  <si>
    <t>ФОП Дейнеко О. С.</t>
  </si>
  <si>
    <t>Капітальний ремонт  тротуару по вул. Генерала Карпенка від пр. Центральний до буд №32 в м. Миколаєві</t>
  </si>
  <si>
    <t>Капітальний ремонт  тротуару по вул. Погранична від вул. 6 Слобідська до вул. 5 Слобідська (парний бік) в м. Миколаєві</t>
  </si>
  <si>
    <t>ТОВ "ФОРТУНАІНВЕСТБУД"</t>
  </si>
  <si>
    <t>ФОП Чудаков І. В.</t>
  </si>
  <si>
    <t>Авторський нагляд</t>
  </si>
  <si>
    <t>Капітальний ремонт покриття тротуару по вул. Адмірала Макарова від вул. Декабристів до вул. Фалеєвська в м. Миколаєві</t>
  </si>
  <si>
    <t>Капітальний ремонт покриття тротуару по вул. 3-а Поздовжня від вул. Космонавтів до вул. В'ячеслава Чорновола в м. Миколаєві</t>
  </si>
  <si>
    <t>Капітальний ремонт тротуару по пр. Миру від вул. Новозаводська до вул. Космонавтів в м. Миколаєві</t>
  </si>
  <si>
    <t>ТОВ "Благоустрій-НК"</t>
  </si>
  <si>
    <t>Капітальний ремонт тротуару по пр. Центральний від вул. Шосейна до пров. Радіо (непарний бік) в м. Миколаєві</t>
  </si>
  <si>
    <t>ФОП Курляк О.В.</t>
  </si>
  <si>
    <t>Капітальний ремонт тротуару по вул. Московська від пр. Центральний до вул. Чкалова в м. Миколаєві</t>
  </si>
  <si>
    <t>ТОВ "АЕЛІТА ЛЮКС"</t>
  </si>
  <si>
    <t>Капітальний ремонт тротуару по вул. Велика Морська від вул. Соборна до вул. Лягіна (парний бік) в м. Миколаєві</t>
  </si>
  <si>
    <t>Капітальний ремонт тротуару по вул. Нікольська від вул. Соборна до вул. Лягіна в м. Миколаєві</t>
  </si>
  <si>
    <t>Капітальний ремонт тротуару по вул. 8 Березня від пр. Центральний до вул. 2 Поперечна (парний бік) в м. Миколаєві</t>
  </si>
  <si>
    <t>Капітальний ремонт тротуару по вул. Потьомкінська від вул. Наваринська до вул. Артилерійська (парний бік) в м. Миколаєві</t>
  </si>
  <si>
    <t>Капітальний ремонт тротуару по вул. Фалєєвська від вул. Шевченка до вул. Потьомкінська (парний бік) в м. Миколаєві</t>
  </si>
  <si>
    <t>Капітальний ремонт тротуару по вул. Курортна від вул. Київська до вул. Озерна (парний бік) в м. Миколаєві</t>
  </si>
  <si>
    <t xml:space="preserve">ТОВ "Насторія"   </t>
  </si>
  <si>
    <t>Капітальний ремонт тротуару по пр. Центральний від вул. 8 Березня до вул. Шосейна (парний бік) в м. Миколаєві</t>
  </si>
  <si>
    <t>Капітальний ремонт тротуару по вул. Нікольська від вул. Московська до вул. Соборна (непарний бік) в м. Миколаєві</t>
  </si>
  <si>
    <t>Капітальний ремонт тротуару по вул. Потьомкінська від вул. Декабристів до вул. Лягіна (непарний бік) в м. Миколаєві</t>
  </si>
  <si>
    <t>Капітальний ремонт тротуару по пр. Центральний від вул. 3 Слобідська до вул. 2 Слобідська (парний бік) в м. Миколаєві</t>
  </si>
  <si>
    <t xml:space="preserve">Капітальний ремонт тротуару з облаштуванням паркувального карману по вул. Миколаївська вздовж буд. №22 та буд. №24 в м. Миколаєві </t>
  </si>
  <si>
    <t>Капітальний ремонт технічних засобів організації дорожнього руху по пр. Богоявленський від вул. Авангардна до вул. Кузнецька в м. Миколаєві</t>
  </si>
  <si>
    <t xml:space="preserve">ТОВ "Агрофон-Проект"     </t>
  </si>
  <si>
    <t>Капітальний ремонт технічних засобів організації дорожнього руху по пр. Богоявленський на розі з вул. Космонавтів в м. Миколаєві</t>
  </si>
  <si>
    <t>ТОВ "Миколаївдорпроект"</t>
  </si>
  <si>
    <t>Капітальний ремонт скверу "Єкатеринінський",розташ.вздовж ж/б№17,19 по пр.Г.Укр.в Центр.р-ні ПКД)</t>
  </si>
  <si>
    <t>Капітальний ремонт кутка відпочинку "Лебеді", розташованого на проспекті Центральному ріг вулиці 6 Слобідської (непарний бік)  в Центральному районі м.Миколаєва</t>
  </si>
  <si>
    <t>Капітальний ремонт скверу по вул.Знаменській,8-а,який розташований по вул.Знаменській,8-а в Кораб.р-ні (ПКД)</t>
  </si>
  <si>
    <t>ФОП Агафонова Т.О.</t>
  </si>
  <si>
    <t>Капітальний ремонт спортивно-ігрового майданчику, розташованого на території парку-пам'ятки садово-паркового мистецтва місцевого значення "Ліски" в м. Миколаєві</t>
  </si>
  <si>
    <t>Капітальний ремонт скверу "Спаський", який розташований по вулиці Нікольській, Варварівський узвіз (ліворуч та праворуч у напрямку річного вокзалу) в Заводському районі  міста Миколаєва</t>
  </si>
  <si>
    <t>ТОВ "Будівельна фірма  СПОРУДА</t>
  </si>
  <si>
    <t xml:space="preserve">Капітальний ремонт скверу «Вітовський» розташованого по вул.Генерала Попеля в Корабельному районі  м. Миколаєва  </t>
  </si>
  <si>
    <t xml:space="preserve">ТОВ "БВК "ПИК-СТРОЙ" </t>
  </si>
  <si>
    <t>Капітальний ремонт скверу ім. В.І. Коренюгіна в Інгульському районі м. Миколаєва (проектні роботи та експертиза)</t>
  </si>
  <si>
    <t>ТОВ "ПРИВАТБУД"</t>
  </si>
  <si>
    <t>Влаштування садово-паркової споруди на території  скверу подвигу ліквідаторів аварії на ЧАЕС у м.Миколаєві</t>
  </si>
  <si>
    <t>Філія АТ"МИКОЛАЇВОБЛЕНЕРГО"М.</t>
  </si>
  <si>
    <t>Підключення до ел.мер.</t>
  </si>
  <si>
    <t>ДБК-ПРОЕКТ</t>
  </si>
  <si>
    <t>Капітальний ремонт скверу імені Михайла Александрова - території рекреаційного призначення, обмеженої проспектом Леніна, вулицею Бузніка та територією Національного університету кораблебудування імені Адмірала Макарова в Заводському районі м.Миколаєва</t>
  </si>
  <si>
    <t>ТОВ "Насторія"</t>
  </si>
  <si>
    <t>Капітальний ремонт скверу "Трояндовий", який розташований по вулиці  Соборній ріг проспекту Центрального в Центральному районі  міста Миколаєва</t>
  </si>
  <si>
    <t>Громадський бюджет (Капітальний ремонт  парку “Спортивний” в Заводському районі м.Миколаєва (ділянка обмежена  просп.Центральним, центральним міським стадіоном, вул.Генерала Карпенка - громодський простір Athletik Park))</t>
  </si>
  <si>
    <t>Придбання та монтаж</t>
  </si>
  <si>
    <t>Оновлення зелених насаджень міських парків, скверів (придбання садженців)</t>
  </si>
  <si>
    <t>1216030  Організація благоустрою населених пунктів</t>
  </si>
  <si>
    <t>Всього по КПКВК 1216011</t>
  </si>
  <si>
    <t>вул.Космонавтів,138в (пас, пас)</t>
  </si>
  <si>
    <t>вул.Космонавтів,138г (пас, пас)</t>
  </si>
  <si>
    <t>пр. Центральний, 267</t>
  </si>
  <si>
    <t>вул. Озерна, 47</t>
  </si>
  <si>
    <t>вул. 8 Березня, 39</t>
  </si>
  <si>
    <t>ФОП Бондар Ю.В.</t>
  </si>
  <si>
    <t>ТОВ "Півд. ліфтова компанія"</t>
  </si>
  <si>
    <t>Херсонське шосе 46/1 (п.1, п.2)</t>
  </si>
  <si>
    <t>вул. Космонавтів, 124А (п.1, п.2)</t>
  </si>
  <si>
    <t>Херсонське шосе, 32 (п.3, п.4)</t>
  </si>
  <si>
    <t>Херсонське шосе, 30 (п.1, п.2)</t>
  </si>
  <si>
    <t>вул. Космонавтів, 132 (п.1, п.2)</t>
  </si>
  <si>
    <t>КП"МИКОЛАЇВЛIФТ"</t>
  </si>
  <si>
    <t>Попередня оплата на закупівлю матеріалів та устаткування</t>
  </si>
  <si>
    <t>вул.Лазурна,50(п.1,п.2,п.3,п.3), вул.Лазурна,50А (п.1,п.2,п.3,п.4)</t>
  </si>
  <si>
    <t>вул. Янтарна, 67 (1,2,3,4)</t>
  </si>
  <si>
    <t xml:space="preserve">вул. Шевченка, 16 (п.1, п.2) </t>
  </si>
  <si>
    <t>пров.Парусний, 5 (п. 1, 2)</t>
  </si>
  <si>
    <t>пр. Героїв України, 15 (п. 1, 2)</t>
  </si>
  <si>
    <t xml:space="preserve">пров.Парусний, 7 (п.1,2,3,4,5,6) </t>
  </si>
  <si>
    <t>ДАБІ</t>
  </si>
  <si>
    <t>Плата за сертифікат</t>
  </si>
  <si>
    <t>Капітальний ремонт  системи водопостачання та водовідведення ж/б по вул.Лазурна,52Б</t>
  </si>
  <si>
    <t>вул.Лазурна,52Б</t>
  </si>
  <si>
    <t>Капітальний ремонт  системи водопостачання та водовідведення ж/б по вул.Лазурна,52А</t>
  </si>
  <si>
    <t>вул.Лазурна,52А</t>
  </si>
  <si>
    <t>Капітальний ремонт  системи водопостачання та водовідведення ж/б по вул.Лазурна,52</t>
  </si>
  <si>
    <t>вул.Лазурна,52</t>
  </si>
  <si>
    <t xml:space="preserve">ФОП Шапошнік І. В.   </t>
  </si>
  <si>
    <t>Капітальний ремонт  системи водопостачання та водовідведення ж/б по пров. Парусний, 9-Б  (авторський нагляд)</t>
  </si>
  <si>
    <t xml:space="preserve">пров. Парусний, 9-Б </t>
  </si>
  <si>
    <t>Капітальний ремонт  системи водопостачання та водовідведення ж/б по пр. Героїв України, 15-А  (авторський нагляд)</t>
  </si>
  <si>
    <t xml:space="preserve">пр. Героїв України, 15-А </t>
  </si>
  <si>
    <t>ФОП Чечуй С. В.</t>
  </si>
  <si>
    <t>Капітальний ремонт  системи водопостачання та водовідведення ж/б по вул. Чкалова, 102  (авторський нагляд)</t>
  </si>
  <si>
    <t xml:space="preserve"> вул. Чкалова, 102 </t>
  </si>
  <si>
    <t>Виготовлення та коригування ПКД, проходження еспертизи, авторський нагляд, у т.ч.:</t>
  </si>
  <si>
    <r>
      <rPr>
        <sz val="12"/>
        <color indexed="8"/>
        <rFont val="Times New Roman"/>
        <family val="1"/>
        <charset val="204"/>
      </rPr>
      <t xml:space="preserve">Виготовлення та коригування ПКД, проходження еспертизи, авторський нагляд, </t>
    </r>
    <r>
      <rPr>
        <b/>
        <u/>
        <sz val="12"/>
        <color indexed="8"/>
        <rFont val="Times New Roman"/>
        <family val="1"/>
        <charset val="204"/>
      </rPr>
      <t>у т.ч.:</t>
    </r>
  </si>
  <si>
    <t>ПП "Будремком"</t>
  </si>
  <si>
    <t>Капітальний ремонт  системи водопостачання та водовідведення ж/б по вул. Адміральська, 2А</t>
  </si>
  <si>
    <t>ТОВ "СПЕКТР ЮГ"</t>
  </si>
  <si>
    <t>Капітальний ремонт мереж електропостачання житлового будинку по вул. Крилова, 19, 19/1</t>
  </si>
  <si>
    <t>Капітальний ремонт мереж електропостачання житлового будинку по вул. Привільна, 71А</t>
  </si>
  <si>
    <t>Капітальний ремонт мереж опалення житлового будинку по вул. 3 Поздовжня, 21</t>
  </si>
  <si>
    <t>ТОВ "ГЕДЕОН-ЮГ"</t>
  </si>
  <si>
    <t xml:space="preserve"> Капітальний ремонт електромереж ж/б по вул. 8 Березня, 39</t>
  </si>
  <si>
    <t>ТОВ "МОНАРХ СТРОЙ"</t>
  </si>
  <si>
    <t>Капітальний ремонт електромереж ж/б по пр.Миру,48</t>
  </si>
  <si>
    <t>пр.Миру,48</t>
  </si>
  <si>
    <t>ФОП Жорова М. А.</t>
  </si>
  <si>
    <t>Капітальний ремонт системи водопостачання, водовідведення по вул. Озерна, 45, 47</t>
  </si>
  <si>
    <t>вул. Озерна, 45, 47</t>
  </si>
  <si>
    <t>Капітальний ремонт системи водопостачання, водовідведення по пров.Парусний, 11-А</t>
  </si>
  <si>
    <t>пров.Парусний, 11-А</t>
  </si>
  <si>
    <t>ДП "Енема-монтаж МВК ПП "Енема"</t>
  </si>
  <si>
    <t>Капітальний ремонт електромереж ж/б по вул.8 Березня. 12</t>
  </si>
  <si>
    <t>вул.8 Березня. 12</t>
  </si>
  <si>
    <t>ТОВ "Вектор-Л"</t>
  </si>
  <si>
    <t>Капітальний ремонт електромереж ж/б по вул.6 Слобідська,48А</t>
  </si>
  <si>
    <t>вул.6 Слобідська,48А</t>
  </si>
  <si>
    <t>ТОВ "Светолюкс-Електромонтаж"</t>
  </si>
  <si>
    <t xml:space="preserve">ТОВ "МОНАРХ СТРОЙ" </t>
  </si>
  <si>
    <t>Капітальний ремонт електромереж ж/б по пр.Центральний,140</t>
  </si>
  <si>
    <t xml:space="preserve"> пр.Центральний,140</t>
  </si>
  <si>
    <t>Капітальний ремонт електромереж ж/б по вул.Образцова,4-А</t>
  </si>
  <si>
    <t>вул.Образцова,4-А</t>
  </si>
  <si>
    <t>Виготовлення та коригування ПКД, проходження еспертизи, авторський нагляд</t>
  </si>
  <si>
    <t xml:space="preserve">ТОВ"АЛЬЯНСБУД МИКОЛАЇВ"  </t>
  </si>
  <si>
    <r>
      <rPr>
        <sz val="12"/>
        <color indexed="8"/>
        <rFont val="Times New Roman"/>
        <family val="1"/>
        <charset val="204"/>
      </rPr>
      <t>Капітальний ремонт вхідних зон ж/б по вул.Олійника,38</t>
    </r>
    <r>
      <rPr>
        <sz val="12"/>
        <color indexed="10"/>
        <rFont val="Times New Roman"/>
        <family val="1"/>
        <charset val="204"/>
      </rPr>
      <t xml:space="preserve">  </t>
    </r>
  </si>
  <si>
    <t xml:space="preserve"> вул.Олійника,38  </t>
  </si>
  <si>
    <t xml:space="preserve">Інші об'єкти житлового фонду </t>
  </si>
  <si>
    <t>пр. Корабелів, 20/3</t>
  </si>
  <si>
    <t>вул.Крилова,16</t>
  </si>
  <si>
    <t>вул.Океанівська,50</t>
  </si>
  <si>
    <t>пр.Миру,64</t>
  </si>
  <si>
    <t>вул.Озерна,15-В</t>
  </si>
  <si>
    <t>вул.Озерна,15-Б</t>
  </si>
  <si>
    <t>пр. Центральний, 6А</t>
  </si>
  <si>
    <t>вул. Будівельників, 22</t>
  </si>
  <si>
    <t xml:space="preserve">вул. Г.Карпенко, 24 </t>
  </si>
  <si>
    <t>ФОП Новіков О. П.</t>
  </si>
  <si>
    <t>вул. Лазурна, 38Б</t>
  </si>
  <si>
    <t>ТОВ"ТД"ВІЛЛА БУД"</t>
  </si>
  <si>
    <t xml:space="preserve"> вул. Будівельників, 12</t>
  </si>
  <si>
    <t xml:space="preserve">Капітальний ремонт  покрівель ОСББ вул. Космонавтів, 130А </t>
  </si>
  <si>
    <t xml:space="preserve">вул. Космонавтів, 130А </t>
  </si>
  <si>
    <t>ПП "КІТ 2016"</t>
  </si>
  <si>
    <t xml:space="preserve">Капітальний ремонт  покрівель ОСББ  вул. Погранична, 150 корп. 7 </t>
  </si>
  <si>
    <t xml:space="preserve"> вул. Погранична, 150 корп. 7 </t>
  </si>
  <si>
    <t xml:space="preserve">Капітальний ремонт  покрівель ОСББ вул. Погранична, 150 корп. 2 </t>
  </si>
  <si>
    <t xml:space="preserve">вул. Погранична, 150 корп. 2 </t>
  </si>
  <si>
    <t>Капітальний ремонт  покрівель ОСББ пров. Парусний, 13Є</t>
  </si>
  <si>
    <t>пров. Парусний, 13Є</t>
  </si>
  <si>
    <t>ТОВ фірма "КАПІТАЛ-БУД"</t>
  </si>
  <si>
    <t>Капітальний ремонт  покрівель ОСББ вул.Крилова, 18</t>
  </si>
  <si>
    <t>вул. Крилова, 18</t>
  </si>
  <si>
    <t>ТОВ "ДОМСТРОЙСЕРВИС"</t>
  </si>
  <si>
    <t>ФОП ПАВЛIНОВ Ю.О.</t>
  </si>
  <si>
    <t xml:space="preserve">Капітальний ремонт  покрівель ОСББ вул.О.Бердника, 26           </t>
  </si>
  <si>
    <t xml:space="preserve">вул.О.Бердника, 26               </t>
  </si>
  <si>
    <t xml:space="preserve">Капітальний ремонт  покрівель ОСББ вул.12 Поздовжня, 13   </t>
  </si>
  <si>
    <t xml:space="preserve">вул.12 Поздовжня, 13   </t>
  </si>
  <si>
    <t>ТОВ Будтехнологія-МК</t>
  </si>
  <si>
    <t xml:space="preserve">Капітальний ремонт  покрівель ОСББ вул.Погранична, 69А </t>
  </si>
  <si>
    <t xml:space="preserve">вул. Погранична, 69А </t>
  </si>
  <si>
    <t>ПП "Агро Рост Буд"</t>
  </si>
  <si>
    <t>Капітальний ремонт  покрівель ОСББ вул.Шевченко, 75</t>
  </si>
  <si>
    <t xml:space="preserve"> вул. Шевченко, 75</t>
  </si>
  <si>
    <t xml:space="preserve">ПП "Агро Рост Буд"  </t>
  </si>
  <si>
    <t>Капітальний ремонт  покрівель ОСББ вул. 3 Слобідська, 54-А</t>
  </si>
  <si>
    <t>вул. 3 Слобідська, 54-А</t>
  </si>
  <si>
    <t xml:space="preserve">ТОВ"ТД"ВІЛЛА БУД"   </t>
  </si>
  <si>
    <t>Капітальний ремонт  покрівель ОСББ вул.Крилова,44</t>
  </si>
  <si>
    <t>вул.Крилова,44</t>
  </si>
  <si>
    <t>ТОВ"ІМПОРТСТРОЙ"</t>
  </si>
  <si>
    <t xml:space="preserve">Капітальний ремонт  покрівель ОСББ вул.В.Морська,68           </t>
  </si>
  <si>
    <r>
      <rPr>
        <sz val="12"/>
        <color indexed="8"/>
        <rFont val="Times New Roman"/>
        <family val="1"/>
        <charset val="204"/>
      </rPr>
      <t xml:space="preserve">вул.В.Морська,68                  </t>
    </r>
    <r>
      <rPr>
        <sz val="12"/>
        <color indexed="10"/>
        <rFont val="Times New Roman"/>
        <family val="1"/>
        <charset val="204"/>
      </rPr>
      <t xml:space="preserve">    </t>
    </r>
  </si>
  <si>
    <t xml:space="preserve">ТОВ Будтехнологія-МК      </t>
  </si>
  <si>
    <t xml:space="preserve">Капітальний ремонт  покрівель ОСББ вул.Китобоїв,14А              </t>
  </si>
  <si>
    <t xml:space="preserve">вул.Китобоїв,14А                    </t>
  </si>
  <si>
    <t xml:space="preserve">ТОВ МАНАХ НИКСТРОЙ   </t>
  </si>
  <si>
    <t>Капітальний ремонт  покрівель ОСББ вул.Дачна,32</t>
  </si>
  <si>
    <t xml:space="preserve">вул.Дачна,32                          </t>
  </si>
  <si>
    <t xml:space="preserve">Капітальний ремонт  покрівель ОСББ вул. Крилова, 14-А    </t>
  </si>
  <si>
    <t xml:space="preserve">вул. Крилова, 14-А                   </t>
  </si>
  <si>
    <t xml:space="preserve">ТОВ МАНАХ НИКСТРОЙ     </t>
  </si>
  <si>
    <t>Капітальний ремонт  покрівель ОСББ вул.В.Морська, 21</t>
  </si>
  <si>
    <t>вул.В.Морська, 21</t>
  </si>
  <si>
    <t>1216011 Капітальний ремонт житлового фонду об'єднань співвласників багатоквартирних будинків, у т.ч.:</t>
  </si>
  <si>
    <t>вул. Г.Карпенко, 42 (п,2)</t>
  </si>
  <si>
    <t>вул. Вінграновського, 56 (п. 1,2,3,4)</t>
  </si>
  <si>
    <t>пр. Богоявленський, 28 (п.1)</t>
  </si>
  <si>
    <t>вул. Колодязна, 16 (п.2)</t>
  </si>
  <si>
    <t>ТОВ "Півд. ліфтова комп"</t>
  </si>
  <si>
    <t>Капітальний та післяекспертний капітальний ремонт , модернізація ліфтів, вул.Ген.Свиридова,40/1 (п.1,п.3)</t>
  </si>
  <si>
    <t>вул.Ген.Свиридова,40/1 (п.1,п.3)</t>
  </si>
  <si>
    <t>Капітальний та післяекспертний капітальний ремонт , модернізація ліфтів,пр.Героїв України,101 (пас., в/пас.)</t>
  </si>
  <si>
    <t>пр.Героїв України,101 (пас., в/пас.)</t>
  </si>
  <si>
    <t>Капітальний та післяекспертний капітальний ремонт , модернізація ліфтів, вул.Архітектора Старова,4-в (п.1,п.2,п.3,п.4)</t>
  </si>
  <si>
    <t>вул.Архітектора Старова,4-в (п.1,п.2,п.3,п.4)</t>
  </si>
  <si>
    <t xml:space="preserve">Капітальний та післяекспертний капітальний ремонт , модернізація ліфтів,вул. Ген. Карпенко, 59А (п.1, п.2)  </t>
  </si>
  <si>
    <t xml:space="preserve">вул. Ген. Карпенко, 59А (п.1, п.2)  </t>
  </si>
  <si>
    <t xml:space="preserve">Капітальний та післяекспертний капітальний ремонт , модернізація ліфтів,вул. Київська, 8-а (п.1, п.2, п.3) </t>
  </si>
  <si>
    <t xml:space="preserve">вул. Київська, 8-а (п.1, п.2, п.3) </t>
  </si>
  <si>
    <t xml:space="preserve">Капітальний та післяекспертний капітальний ремонт , модернізація ліфтів,вул. Київська, 8 (п.1, п.2, п.3, п.4, п.5, п.6)  </t>
  </si>
  <si>
    <t xml:space="preserve">вул. Київська, 8 (п.1, п.2, п.3, п.4, п.5, п.6)  </t>
  </si>
  <si>
    <t>Капітальний та післяекспертний капітальний ремонт , модернізація ліфтів,вул. 3 Слобідська, 24 (п.2)</t>
  </si>
  <si>
    <t>вул. 3 Слобідська, 24 (п.2)</t>
  </si>
  <si>
    <t>Капітальний та післяекспертний капітальний ремонт , модернізація ліфтів,вул. Потьомкінська, 131-б (п.1)</t>
  </si>
  <si>
    <t>вул. Потьомкінська, 131-б (п.1)</t>
  </si>
  <si>
    <t xml:space="preserve">Капітальний та післяекспертний капітальний ремонт , модернізація ліфтів,вул. Театральна, 45 (п.1, п.2) </t>
  </si>
  <si>
    <t xml:space="preserve">вул. Театральна, 45 (п.1, п.2) </t>
  </si>
  <si>
    <t>Капітальний та післяекспертний капітальний ремонт , модернізація ліфтів,вул.Потьомкінська,131В/6 (п.1)</t>
  </si>
  <si>
    <t>вул.Потьомкінська,131В/6 (п.1)</t>
  </si>
  <si>
    <t>ТОВ"ЕКСПЕРТИЗА МВК"</t>
  </si>
  <si>
    <t>Проведення експертизи</t>
  </si>
  <si>
    <t>Капітальний та післяекспертний капітальний ремонт , модернізація ліфтів,вул. Г.Петрової, 3 (п.1,п.2,п.3,п.4)</t>
  </si>
  <si>
    <t>вул. Г.Петрової, 3 (п.1,п.2,п.3,п.4)</t>
  </si>
  <si>
    <t>ТОВ "Євроліфт"</t>
  </si>
  <si>
    <t>ТОВ"Н.ПРОЕКТ-ТАЙМ"</t>
  </si>
  <si>
    <t>Капітальний та післяекспертний капітальний ремонт , модернізація ліфтів,пр. Центральний, 157</t>
  </si>
  <si>
    <t>пр. Центральний, 157</t>
  </si>
  <si>
    <t xml:space="preserve">Капітальний та післяекспертний капітальний ремонт , модернізація ліфтів,1 Екіпажна, 2А (п.1, п.2, п.3, п.4) </t>
  </si>
  <si>
    <t xml:space="preserve">1 Екіпажна, 2А (п.1, п.2, п.3, п.4) </t>
  </si>
  <si>
    <t>Капітальний та післяекспертний капітальний ремонт , модернізація ліфтів,вул. Озерна, 37 (п.1, п. 3)</t>
  </si>
  <si>
    <t>вул. Озерна, 37 (п.1, п. 3)</t>
  </si>
  <si>
    <t xml:space="preserve">Капітальний та післяекспертний капітальний ремонт , модернізація ліфтів,вул.Чкалова, 108 (п.1) </t>
  </si>
  <si>
    <t xml:space="preserve">вул.Чкалова, 108 (п.1) </t>
  </si>
  <si>
    <t>ТОВ "ЦЕНТРЛІФТ"</t>
  </si>
  <si>
    <t>Капітальний та післяекспертний капітальний ремонт , модернізація ліфтів,вул.Г.Гонгадзе,30 (п.1)</t>
  </si>
  <si>
    <t>вул.Г.Гонгадзе,30 (п.1)</t>
  </si>
  <si>
    <t>Капітальний та післяекспертний капітальний ремонт , модернізація ліфтів,вул. 11 Поздовжня, 31а (п.2)</t>
  </si>
  <si>
    <t>вул. 11 Поздовжня, 31а (п.2)</t>
  </si>
  <si>
    <t>Капітальний та післяекспертний капітальний ремонт , модернізація ліфтів,вул.Садова,50 (п.2,п.3)</t>
  </si>
  <si>
    <t>вул.Садова,50 (п.2,п.3)</t>
  </si>
  <si>
    <t>Капітальний та післяекспертний капітальний ремонт , модернізація ліфтів,вул.2 Слобідська,75 (п.1,п.2)</t>
  </si>
  <si>
    <t>вул.2 Слобідська,75 (п.1,п.2)</t>
  </si>
  <si>
    <t>Капітальний та післяекспертний капітальний ремонт , модернізація ліфтів,пр.Центральний,15 (п.1,п.2)</t>
  </si>
  <si>
    <t>пр.Центральний,15 (п.1,п.2)</t>
  </si>
  <si>
    <t>Капітальний та післяекспертний капітальний ремонт , модернізація ліфтів,вул.Садова,48 (п.1,2)</t>
  </si>
  <si>
    <t>вул.Садова,48 (п.1,2)</t>
  </si>
  <si>
    <t>Капітальний та післяекспертний капітальний ремонт , модернізація ліфтів,вул.Погранична,80 (п,2,4)</t>
  </si>
  <si>
    <t>вул.Погранична,80 (п,2,4)</t>
  </si>
  <si>
    <t>Капітальний ремонт внутрішньобудинкових  мереж водопостачання та водовідведення  ж/б по вул. Колодязна, 13(авторський нагляд)</t>
  </si>
  <si>
    <t>Капітальний ремонт внутрішньобудинкових  мереж водопостачання та водовідведення  ж/б по вул. Колодязна, 13-А(авторський нагляд)</t>
  </si>
  <si>
    <t>Капітальний ремонт внутрішньобудинкових  мереж водопостачання та водовідведення  ж/б по вул. Колодязна, 6 (авторський нагляд)</t>
  </si>
  <si>
    <r>
      <rPr>
        <sz val="12"/>
        <color indexed="8"/>
        <rFont val="Times New Roman"/>
        <family val="1"/>
        <charset val="204"/>
      </rPr>
      <t xml:space="preserve">Виготовлення та коригування ПКД, проходження еспертизи, авторський нагляд, </t>
    </r>
    <r>
      <rPr>
        <b/>
        <u/>
        <sz val="12"/>
        <color indexed="8"/>
        <rFont val="Times New Roman"/>
        <family val="1"/>
        <charset val="204"/>
      </rPr>
      <t>у тому числі:</t>
    </r>
  </si>
  <si>
    <t>Капітальний ремонт внутрішньобудинкових  мереж  водовідведення  ж/б по пр.Героїв України,99</t>
  </si>
  <si>
    <t>Капітальний ремонт внутрішньобудинкових  мереж  водовідведення  ж/б по пр.Героїв України,93</t>
  </si>
  <si>
    <t>Капітальний ремонт внутрішньобудинкових  мереж водопостачання та водовідведення  ж/б по вул.О.Григорьєва,10-а</t>
  </si>
  <si>
    <t>Капітальний ремонт внутрішньобудинкових електричних мереж  ж/б по вул.Глінки,6-а</t>
  </si>
  <si>
    <t>Капітальний ремонт внутрішньобудинкових  мереж водопостачання та водовідведення  ж/б по вул.Океанівська,28</t>
  </si>
  <si>
    <t>ТОВ"Кіровоградбудпроект"</t>
  </si>
  <si>
    <t>Капітальний ремонт внутрішньобудинкових електричних мереж  ж/б по вул. Яворницького, 2-Б</t>
  </si>
  <si>
    <t>Капітальний ремонт внутрішньобудинкових електричних мереж  ж/б по вул.Космонавтів,112</t>
  </si>
  <si>
    <t>Капітальний ремонт внутрішньобудинкових електричних мереж  ж/б по вул.Космонавтів,110</t>
  </si>
  <si>
    <t xml:space="preserve"> Капітальний ремонт внутрішньобудинкових електричних мереж (пряме абонування) ж/б по вул.Ген. Карпенко,2/1 (4,5,6 п.)</t>
  </si>
  <si>
    <t>Капітальний ремонт внутрішньобудинкових електричних мереж (пряме абонування) ж/б по вул.Гонгадзе,26/2</t>
  </si>
  <si>
    <t>Капітальний ремонт внутрішньобудинкових електричних мереж (пряме абонування) ж/б по вул. Космонавтів, 132-А</t>
  </si>
  <si>
    <t xml:space="preserve">ТОВ "МОНАРХ СТРОЙ"  </t>
  </si>
  <si>
    <t>ТОВ"Спецмонтаж-123"</t>
  </si>
  <si>
    <t xml:space="preserve"> Капітальний ремонт внутрішньобудинкових електричних мереж (пряме абонування) ж/б по вул. Потьомкінська,131-в/6</t>
  </si>
  <si>
    <t xml:space="preserve">ДП "КСУ-411" ПАТ"ДЕМ" </t>
  </si>
  <si>
    <t xml:space="preserve"> Капітальний ремонт внутрішньобудинкових електричних мереж ж/б попр. Миру, 56</t>
  </si>
  <si>
    <t>ТОВ"Електрім-2000"</t>
  </si>
  <si>
    <t>Капітальний ремонт внутрішньобудинкових електричних мереж (пряме абонування) ж/б по вул. Озерна, 12</t>
  </si>
  <si>
    <t>ДП "КСУ-411" ПАТ"ДЕМ"</t>
  </si>
  <si>
    <t>Капітальний ремонт внутрішньобудинкових електричних мереж (пряме абонування) ж/б по  пров. Кобера, 13</t>
  </si>
  <si>
    <t>ТОВ"Торг.Мик.Електротех.Комп"</t>
  </si>
  <si>
    <t>Капітальний ремонт внутрішньобудинкових електричних мереж (пряме абонування) ж/б по пр. Богоявленський, 289</t>
  </si>
  <si>
    <t xml:space="preserve"> Капітальний ремонт внутрішньобудинкових електричних мереж (пряме абонування) ж/б по пр. Богоявленський, 287</t>
  </si>
  <si>
    <t xml:space="preserve">ТОВ "МОНАРХ СТРОЙ"    </t>
  </si>
  <si>
    <t>Капітальний ремонт внутрішньобудинкових електричних мереж (пряме абонування) ж/б по  вул. Київська,2</t>
  </si>
  <si>
    <t>Інші об'єкти житлового фонду</t>
  </si>
  <si>
    <t>Капітальний ремонт житлового будинку по вул. Заводська, 27/2 (АН)</t>
  </si>
  <si>
    <t>Капітальний ремонт житлового будинку по вул. Заводська, 27/1 (АН)</t>
  </si>
  <si>
    <t>Предпроектні роботи</t>
  </si>
  <si>
    <t>Капітальний ремонт житлового будинку по вул. Океанівська, 1б (ПКД)</t>
  </si>
  <si>
    <t xml:space="preserve">ТОВ "4 Вектор"  </t>
  </si>
  <si>
    <t>Капітальний ремонт житлового будинку по вул. Шосейна, 4 (ПКД)</t>
  </si>
  <si>
    <r>
      <rPr>
        <sz val="12"/>
        <color indexed="8"/>
        <rFont val="Times New Roman"/>
        <family val="1"/>
        <charset val="204"/>
      </rPr>
      <t>Виготовлення та коригування ПКД, проходження еспертизи, авторський нагляд</t>
    </r>
    <r>
      <rPr>
        <b/>
        <u/>
        <sz val="12"/>
        <color indexed="8"/>
        <rFont val="Times New Roman"/>
        <family val="1"/>
        <charset val="204"/>
      </rPr>
      <t>, у тому числі</t>
    </r>
  </si>
  <si>
    <t>Капітальний ремонт сходових клітин із заміною вікон у ж/б по вул. В. Морська, 68 (об'єкт субвенції)</t>
  </si>
  <si>
    <t>Капітальний ремонт сходових клітин із заміною вікон у ж/б по вул. Шевченка, 81 (об'єкт субвенції)</t>
  </si>
  <si>
    <t>Капітальний ремонт сходових клітин із заміною вікон у ж/б по вул. Набережна, 27 (об'єкт субвенції)</t>
  </si>
  <si>
    <t>Капітальний ремонт сходових клітин із заміною вікон у ж/б по вул. Артилерийська, 1 (об'єкт субвенції)</t>
  </si>
  <si>
    <t>Капітальний ремонт сходових клітин із заміною вікон у ж/б по вул. Артилерийська, 2 (об'єкт субвенції)</t>
  </si>
  <si>
    <t>Капітальний ремонт сходових клітин із заміною вікон у ж/б по вул. Адміральська, 2 к.7 (об'єкт субвенції)</t>
  </si>
  <si>
    <t>Капітальний ремонт сходових клітин із заміною вікон у ж/б по вул. О.Григорєва, 14 (об'єкт субвенції)</t>
  </si>
  <si>
    <t>Капітальний ремонт сходових клітин із заміною вікон у ж/б по вул. Лісова, 5 (об'єкт субвенції)</t>
  </si>
  <si>
    <t>Капітальний ремонт сходових клітин із заміною вікон у ж/б по вул. 2 Слобідська, 75 (об'єкт субвенції)</t>
  </si>
  <si>
    <t>Капітальний ремонт сходових клітин із заміною вікон у ж/б по пр. Центральний, 187 (об'єкт субвенції)</t>
  </si>
  <si>
    <t>Капітальний ремонт сходових клітин із заміною вікон у ж/б по пр. Героїв України, 65 (об'єкт субвенції)</t>
  </si>
  <si>
    <t>Капітальний ремонт сходових клітин із заміною вікон у ж/б по вул. Робоча, 5 (об'єкт субвенції)</t>
  </si>
  <si>
    <t>Капітальний ремонт сходових клітин із заміною вікон у ж/б по вул. Шевченка, 2А (об'єкт субвенції)</t>
  </si>
  <si>
    <t>Капітальний ремонт сходових клітин із заміною вікон у ж/б по вул. Лісова, 7 (об'єкт субвенції)</t>
  </si>
  <si>
    <t>Капітальний ремонт сходових клітин із заміною вікон у ж/б по вул. Інженерна, 13 (об'єкт субвенції)</t>
  </si>
  <si>
    <t>Капітальний ремонт сходових клітин із заміною вікон у ж/б по вул. Арх. Старова, 10 (об'єкт субвенції)</t>
  </si>
  <si>
    <t>Капітальний ремонт сходових клітин із заміною вікон у ж/б по вул. Робоча, 3 (об'єкт субвенції)</t>
  </si>
  <si>
    <t>Капітальний ремонт сходових клітин із заміною вікон у ж/б по вул. Дачна, 42 (об'єкт субвенції)</t>
  </si>
  <si>
    <t>Капітальний ремонт сходових клітин із заміною вікон у ж/б по вул. Бузький бульвар 17А (об'єкт субвенції)</t>
  </si>
  <si>
    <t>Капітальний ремонт сходових клітин із заміною вікон у ж/б по вул. Ген. Карпенка, 37Б (об'єкт субвенції)</t>
  </si>
  <si>
    <t>Капітальний ремонт сходових клітин із заміною вікон у ж/б по вул. Нікольська, 14 (об'єкт субвенції)</t>
  </si>
  <si>
    <t>ФОП Садомов О. С.</t>
  </si>
  <si>
    <t>Капітальний ремонт сходових клітин із заміною вікон у ж/б по вул.О.Григорєва,10А</t>
  </si>
  <si>
    <t>Капітальний ремонт сходових клітин із заміною вікон у ж/б по вул.Айвазовського,11В</t>
  </si>
  <si>
    <t>Капітальний ремонт сходових клітин із заміною вікон у ж/б по вул.Нікольська,8/1</t>
  </si>
  <si>
    <t>Капітальний ремонт сходових клітин із заміною вікон у ж/б по вул.В.Морська,4/6</t>
  </si>
  <si>
    <t>Капітальний ремонт сходових клітин із заміною вікон у ж/б по вул.Нікольська,8/3</t>
  </si>
  <si>
    <t>Капітальний ремонт сходових клітин із заміною вікон у ж/б по вул.Нікольська,8/2</t>
  </si>
  <si>
    <t>Капітальний ремонт сходових клітин із заміною вікон у ж/б по вул.О.Григорєва,12А</t>
  </si>
  <si>
    <t>Капітальний ремонт сходових клітин із заміною вікон у ж/б по вул.О.Ольжича,5Б</t>
  </si>
  <si>
    <t>Капітальний ремонт сходових клітин із заміною вікон у ж/б по вул.Глінки,6А</t>
  </si>
  <si>
    <t>Капітальний ремонт сходових клітин із заміною вікон у ж/б по вул.Біла,61</t>
  </si>
  <si>
    <t>Капітальний ремонт сходових клітин із заміною вікон у ж/б по вул.Робоча,7</t>
  </si>
  <si>
    <t>Капітальний ремонт сходових клітин із заміною вікон у ж/б по вул.Космонавтів,132-б</t>
  </si>
  <si>
    <t>Капітальний ремонт сходових клітин із заміною вікон у ж/б по вул.Космонавтів,132-а</t>
  </si>
  <si>
    <t>Капітальний ремонт сходових клітин із заміною вікон у ж/б по вул.Першотравнева,109</t>
  </si>
  <si>
    <t>Капітальний ремонт сходових клітин із заміною вікон у ж/б по вул.Озерна,11б</t>
  </si>
  <si>
    <t xml:space="preserve">Капітальний ремонт сходових клітин із заміною вікон у ж/б по вул.Озерна,17а                          </t>
  </si>
  <si>
    <t>Капітальний ремонт сходових клітин із заміною вікон у ж/б по пров.Радіо,1</t>
  </si>
  <si>
    <t>ТОВ "Проект-Комплект Строй"</t>
  </si>
  <si>
    <t>Капітальний ремонт ж/б по вул. Нагірна, 11</t>
  </si>
  <si>
    <t>ТОВ"БК-Базіс"</t>
  </si>
  <si>
    <t>Капітальний ремонт ж/б по вул.Космонавтів,98</t>
  </si>
  <si>
    <t xml:space="preserve">ТОВ СП"Альтус-Про"     </t>
  </si>
  <si>
    <t>Капітальний ремонт фасаду ж/б по вул.Лазурна,6-а</t>
  </si>
  <si>
    <t>Капітальний ремонт (проаварійні роботи) мякої покрівлі ж/б по вул. Погранична, 69</t>
  </si>
  <si>
    <t>Капітальний ремонт будинку по вул.Потьомкінська,28</t>
  </si>
  <si>
    <t>ТОВ "Стройсевіс Миколаїв"</t>
  </si>
  <si>
    <t>Капітальний ремонт житлового будинку (кап.ремонт перекриття) ж/б по вул. Г. Гонгадзе, 30</t>
  </si>
  <si>
    <t>ТОВ"ЭТАЛОН ПРОФСТРОЙ"</t>
  </si>
  <si>
    <t>Капітальний ремонт покрілві ж/б по вул. Г. Карпенко, 51 (ПКД)</t>
  </si>
  <si>
    <t>Капітальний ремонт покрілві ж/б по вул. Океанівська, 14 (ПКД)</t>
  </si>
  <si>
    <t>Капітальний ремонт покрілві ж/б по пр. Миру, 26 (ПКД)</t>
  </si>
  <si>
    <t>Капітальний ремонт покрілві ж/б по вул. пров. Мічуріна, 7 (ПКД)</t>
  </si>
  <si>
    <t xml:space="preserve">ТОВ"ЭТАЛОН ПРОФСТРОЙ"        </t>
  </si>
  <si>
    <t>Капітальний ремонт покрілві ж/б по вул. Вінграновського, 39 (ПКД)</t>
  </si>
  <si>
    <t xml:space="preserve">ФОП Чечуй С. В.  </t>
  </si>
  <si>
    <t>Капітальний ремонт покрілві ж/б по вул. Заводська, 13/3 (ПКД)</t>
  </si>
  <si>
    <t>Капітальний ремонт покрілві ж/б по вул. Біла, 61 (ПКД)</t>
  </si>
  <si>
    <r>
      <rPr>
        <sz val="12"/>
        <color indexed="8"/>
        <rFont val="Times New Roman"/>
        <family val="1"/>
        <charset val="204"/>
      </rPr>
      <t>Виготовлення та коригування ПКД, проходження еспертизи, авторський нагляд,</t>
    </r>
    <r>
      <rPr>
        <b/>
        <u/>
        <sz val="12"/>
        <color indexed="8"/>
        <rFont val="Times New Roman"/>
        <family val="1"/>
        <charset val="204"/>
      </rPr>
      <t xml:space="preserve"> у тому числі:</t>
    </r>
  </si>
  <si>
    <t>ТОВ "АВТОБІОЛЮКС"</t>
  </si>
  <si>
    <t>Капітальний ремонт покрілві ж/б по вул. Колодязна, 6</t>
  </si>
  <si>
    <t>вул. Колодязна, 6</t>
  </si>
  <si>
    <t>ТОВ ПІК-ГАРАНТ</t>
  </si>
  <si>
    <t>Капітальний ремонт покрілві ж/б по вул. Ген. Карпенка, 51</t>
  </si>
  <si>
    <t>вул. Ген. Карпенка, 51</t>
  </si>
  <si>
    <t>Капітальний ремонт покрілві ж/б по пров. Мічуріна, 7</t>
  </si>
  <si>
    <t>пров. Мічуріна, 7</t>
  </si>
  <si>
    <t>Капітальний ремонт покрілві ж/б по вул. Вінграновського, 39</t>
  </si>
  <si>
    <t>вул. Вінграновського, 39</t>
  </si>
  <si>
    <t>Капітальний ремонт покрілві ж/б по вул. 3 Лінія, 17</t>
  </si>
  <si>
    <t>вул. 3 Лінія, 17</t>
  </si>
  <si>
    <t>ТОВ МАНАХ НИКСТРОЙ</t>
  </si>
  <si>
    <t>Капітальний ремонт покрілві ж/б по вул. Біла, 61</t>
  </si>
  <si>
    <t>вул. Біла, 61</t>
  </si>
  <si>
    <t>Капітальний ремонт покрілві ж/б по вул. 6 Слобідська, 9</t>
  </si>
  <si>
    <t>вул. 6 Слобідська, 9</t>
  </si>
  <si>
    <t xml:space="preserve">Капітальний ремонт покрілві ж/б по вул. Космонавтів, 146Г </t>
  </si>
  <si>
    <t xml:space="preserve">вул. Космонавтів, 146Г </t>
  </si>
  <si>
    <t>ТОВ "ПИК-МОНТАЖ"</t>
  </si>
  <si>
    <t xml:space="preserve">Капітальний ремонт покрілві ж/б по пр. Центральний, 186 </t>
  </si>
  <si>
    <t xml:space="preserve">пр. Центральний, 186 </t>
  </si>
  <si>
    <t xml:space="preserve">Капітальний ремонт покрілві ж/б по вул. Колодязна, 5-Б </t>
  </si>
  <si>
    <t xml:space="preserve">вул. Колодязна, 5-Б </t>
  </si>
  <si>
    <t xml:space="preserve">Капітальний ремонт покрілві ж/б по вул. Колодязна, 5-А </t>
  </si>
  <si>
    <t xml:space="preserve">вул. Колодязна, 5-А </t>
  </si>
  <si>
    <t xml:space="preserve">Капітальний ремонт покрілві ж/б по пр. Героїв України, 103 </t>
  </si>
  <si>
    <t xml:space="preserve">пр. Героїв України, 103 </t>
  </si>
  <si>
    <t>ТОВ "МК-СТІЛОБАТ"</t>
  </si>
  <si>
    <t xml:space="preserve">Капітальний ремонт покрілві ж/б по вул. Силікатна, 275 </t>
  </si>
  <si>
    <t xml:space="preserve">вул. Силікатна, 275 </t>
  </si>
  <si>
    <t xml:space="preserve">Капітальний ремонт покрілві ж/б по вул. Авангардна, 49 </t>
  </si>
  <si>
    <t xml:space="preserve">вул. Авангардна, 49 </t>
  </si>
  <si>
    <t>Капітальний ремонт покрілві ж/б по вул. Південня, 54/2</t>
  </si>
  <si>
    <t>вул. Південня, 54/2</t>
  </si>
  <si>
    <t xml:space="preserve">Капітальний ремонт покрілві ж/б по вул. 1 Лінія, 48 </t>
  </si>
  <si>
    <t xml:space="preserve">вул. 1 Лінія, 48 </t>
  </si>
  <si>
    <t>Капітальний ремонт покрілві ж/б по пр. Центральний, 4</t>
  </si>
  <si>
    <t>пр. Центральний, 4</t>
  </si>
  <si>
    <t>Капітальний ремонт покрілві ж/б по вул. Наваринська, 17А</t>
  </si>
  <si>
    <t>вул. Наваринська, 17А</t>
  </si>
  <si>
    <t xml:space="preserve">Капітальний ремонт покрілві ж/б по пр. Центральний, 29 </t>
  </si>
  <si>
    <t xml:space="preserve">пр. Центральний, 29 </t>
  </si>
  <si>
    <t xml:space="preserve">Капітальний ремонт покрілві ж/б по пр. Центральний, 27 </t>
  </si>
  <si>
    <t xml:space="preserve">пр. Центральний, 27 </t>
  </si>
  <si>
    <t>Капітальний ремонт покрілві ж/б по вул. Млинна, 31</t>
  </si>
  <si>
    <t>вул. Млинна, 31</t>
  </si>
  <si>
    <t>Капітальний ремонт покрілві ж/б по вул. Заводська, 27/3</t>
  </si>
  <si>
    <t>вул. Заводська, 27/3</t>
  </si>
  <si>
    <t>Капітальний ремонт покрілві ж/б по вул.Заводська, 1/1</t>
  </si>
  <si>
    <t>вул.Заводська, 1/1</t>
  </si>
  <si>
    <t xml:space="preserve">Капітальний ремонт покрілві ж/б по вул.Чкалова, 58 </t>
  </si>
  <si>
    <t xml:space="preserve">вул.Чкалова, 58 </t>
  </si>
  <si>
    <t xml:space="preserve">Капітальний ремонт покрілві ж/б по пр. Корабелів, 12-А </t>
  </si>
  <si>
    <t xml:space="preserve">пр. Корабелів, 12-А </t>
  </si>
  <si>
    <t>Капітальний ремонт покрілві ж/б по вул. Океанівська, 36</t>
  </si>
  <si>
    <t>вул. Океанівська, 36</t>
  </si>
  <si>
    <t xml:space="preserve">Капітальний ремонт покрілві ж/б по вул. 6 Слобідська, 48 </t>
  </si>
  <si>
    <t xml:space="preserve">вул. 6 Слобідська, 48 </t>
  </si>
  <si>
    <t xml:space="preserve"> Капітальний ремонт покрілві ж/б по вул. Передова, 52В </t>
  </si>
  <si>
    <t xml:space="preserve"> вул. Передова, 52В </t>
  </si>
  <si>
    <t>Капітальний ремонт покрілві ж/б по вул.Заводська,13/2</t>
  </si>
  <si>
    <t>вул.Заводська,13/2</t>
  </si>
  <si>
    <t xml:space="preserve"> Капітальний ремонт покрілві ж/б по вул. Авангардна, 51 </t>
  </si>
  <si>
    <t xml:space="preserve"> вул. Авангардна, 51 </t>
  </si>
  <si>
    <t>ТОВ "Вектор-Гранд"</t>
  </si>
  <si>
    <t>Капітальний ремонт покрілві ж/б по пр. Корабелів, 11</t>
  </si>
  <si>
    <t>пр. Корабелів, 11</t>
  </si>
  <si>
    <t>Капітальний ремонт покрілві ж/б по вул. Погранична, 246-Б</t>
  </si>
  <si>
    <t>вул. Погранична, 246-Б</t>
  </si>
  <si>
    <t>Капітальний ремонт покрілві ж/б по пр. Г. України, 13-Г</t>
  </si>
  <si>
    <t>пр. Г. України, 13-Г</t>
  </si>
  <si>
    <t>Капітальний ремонт покрілві ж/б по вул. Терасна, 3</t>
  </si>
  <si>
    <t>вул. Терасна, 3</t>
  </si>
  <si>
    <t xml:space="preserve">ТОВ Будтехнологія-МК   </t>
  </si>
  <si>
    <t>Капітальний ремонт покрілві ж/б по вул. Колодязна, 4</t>
  </si>
  <si>
    <t>вул. Колодязна, 4</t>
  </si>
  <si>
    <t>Капітальний ремонт покрілві ж/б по вул.Одеське шосе,98а</t>
  </si>
  <si>
    <t>вул.Одеське шосе,98а</t>
  </si>
  <si>
    <t>Капітальний ремонт покрілві ж/б по вул.Миколаївська,22</t>
  </si>
  <si>
    <t>вул.Миколаївська,22</t>
  </si>
  <si>
    <t xml:space="preserve">ТОВ"ЭТАЛОН ПРОФСТРОЙ"    </t>
  </si>
  <si>
    <t>Капітальний ремонт покрілві ж/б по вул.Заводська, 2Г</t>
  </si>
  <si>
    <t>вул.Заводська, 2Г</t>
  </si>
  <si>
    <t>1216011 Капітальний ремонт  житлового фонду, у т.ч.:</t>
  </si>
  <si>
    <t>Департамент житлово-комунального господарства Миколаївської міської ради</t>
  </si>
  <si>
    <t>Разом по спеціальному фонду:</t>
  </si>
  <si>
    <t>демонстраційний проєкт НЕФКО</t>
  </si>
  <si>
    <t>ФОП Заторський Д.С.
ТОВ "ДОЙЧ БУД"</t>
  </si>
  <si>
    <t>Капітальний ремонт з енергомодернізацією</t>
  </si>
  <si>
    <t>Кульбакинського будинку культурии Корабельного району за адресою: м. Миколаїв, вул. Райдужна, 38</t>
  </si>
  <si>
    <t>м. Миколаїв, вул. Райдужна, 37</t>
  </si>
  <si>
    <t xml:space="preserve">Капітальний ремонт з енергомодернізацією </t>
  </si>
  <si>
    <t>ТОВ "ТЕНДЕР КОНСАЛТ"</t>
  </si>
  <si>
    <t>Капітальний ремонт з термомодернізацією</t>
  </si>
  <si>
    <t>ЗОШ №6 ММР Миколаївської області за адресою: м. Миколаїв, вул. Курортна, 2-А</t>
  </si>
  <si>
    <t>м. Миколаїв, вул. Курортна, 2-А</t>
  </si>
  <si>
    <t>ЗОШ №26 ММР Миколаївської області за адресою: м. Миколаїв, вул. Чайковського, 11-А</t>
  </si>
  <si>
    <t>м. Миколаїв, вул. Чайковського, 11-А</t>
  </si>
  <si>
    <t>ЗОШ №18 ММР Миколаївської області за адресою: м. Миколаїв, вул. Дачна, 2</t>
  </si>
  <si>
    <t>м. Миколаїв, вул. Дачна, 1</t>
  </si>
  <si>
    <t>ТОВ " АБ МАСИВ"</t>
  </si>
  <si>
    <t>ЗОШ №33 ММР Миколаївської області за адресою: м. Миколаїв, вул. Океанівська, 12</t>
  </si>
  <si>
    <t>м. Миколаїв, вул. Океанівська, 11</t>
  </si>
  <si>
    <t>ДНЗ №20 "Юний чорноморець" за адресою: м. Миколаїв, вул. Корабелів, 6</t>
  </si>
  <si>
    <t>м. Миколаїв, вул. Корабелів, 5</t>
  </si>
  <si>
    <t>ДНЗ №71 "Перлинка" за адресою: м. Миколаїв, вул. Чайковського, 16</t>
  </si>
  <si>
    <t>м. Миколаїв, вул. Чайковського, 15</t>
  </si>
  <si>
    <t>ТОВ "ЮЖНИЙ ГОРОД"</t>
  </si>
  <si>
    <t>ДНЗ №127 за адресою: м. Миколаїв, пр. Миру, 27Г</t>
  </si>
  <si>
    <t>м. Миколаїв, пр. Миру, 27Г</t>
  </si>
  <si>
    <t>ТОВ "А-ПРОЕКТСЕРВІС"</t>
  </si>
  <si>
    <t xml:space="preserve"> ДНЗ №64 "Барвінок" за адресою: м. Миколаїв, вул. Крилова, 7-б</t>
  </si>
  <si>
    <t>м. Миколаїв, вул. Крилова, 7-б</t>
  </si>
  <si>
    <t>ДНЗ №59 "Перлинка" за адресою: м. Миколаїв, вул.Бузника, 12А</t>
  </si>
  <si>
    <t>м. Миколаїв, вул.Бузника, 12А</t>
  </si>
  <si>
    <t>ТОВ "МПК "СТАНДАРТ"</t>
  </si>
  <si>
    <t>Миколаївський Морського ліцею ім. професора М. Александрова ММР Миколаївської області за адресою: м. Миколаїв, вул. Даля, 11А</t>
  </si>
  <si>
    <t>м. Миколаїв, вул. Даля, 11А</t>
  </si>
  <si>
    <t>ФОП Пачес Т.Г.</t>
  </si>
  <si>
    <t>Миколаївський муніципальний колегіум імені В.Д.Чайки (корпус 2) за адресою: вул. Потьомкінська,147 А, м. Миколаїв</t>
  </si>
  <si>
    <t>вул. Потьомкінська,147 А, м. Миколаїв</t>
  </si>
  <si>
    <t>ФОП Павлов П.А. Е.з.філ.ДП"Укрдержбудексп.у м.Мик." 15-0468-18(15-0751-17)в.21.11.2018;            ФОП Мовенко С.Н.
ТОВ "ФАСАД-ЦЕНТР"</t>
  </si>
  <si>
    <t>загальноосвітня школа І-ІІІ ст. №42, вул. Електронна,73, м. Миколаїв</t>
  </si>
  <si>
    <t>м. Миколаїв, вул. Електронна,73</t>
  </si>
  <si>
    <t>ТОВ "Лайтінг технолоджи солюшнс"</t>
  </si>
  <si>
    <t>Капітальний ремонт з вуличного освітлення</t>
  </si>
  <si>
    <t>Освітлення вулиці Космонавтів</t>
  </si>
  <si>
    <t>м. Миколаїв, вул. Космонавтів</t>
  </si>
  <si>
    <t>Капітальний ремонт в частині термосанації</t>
  </si>
  <si>
    <t>ДНЗ №147 за адресою:  вул. Гарнізонна, 10-А, м. Миколаїв</t>
  </si>
  <si>
    <t>вул. Гарнізонна, 10-А, м. Миколаїв</t>
  </si>
  <si>
    <t>ЗОШ І-ІІІ ст. №10,Миколаївської міської ради за адресою:  пр.Богоявленський, 30</t>
  </si>
  <si>
    <t>м. Миколавїв, пр.Богоявленський, 29</t>
  </si>
  <si>
    <t>Експертний звіт від 05.06.2019 №05-06/19/А ФОП Ігнатьєва Ю.О.ФОП Канівченко В.Г ФОП Мовенко С.М.
ТОВ "ПІВДЕНЬГІДРОБУД"</t>
  </si>
  <si>
    <t>загальноосвітня школа І-ІІІ ст. № 17, вул. Крилова, 12/6, м. Миколаїв</t>
  </si>
  <si>
    <t xml:space="preserve"> м. Миколаїв, вул. Крилова, 12/6</t>
  </si>
  <si>
    <t>Капітальний ремонт в частині заміни вікон та вхідних дверей</t>
  </si>
  <si>
    <t>ДНЗ №139 за адресою: м. Миколаїв, вул. Океанівська, 28 А</t>
  </si>
  <si>
    <t>м. Миколаїв, вул. Океанівська, 28 А</t>
  </si>
  <si>
    <t>ТОВ "МПК "СТАНДАРТ"
ТОВ "ГОЛДЕН-БУД"
ФОП Нуждов П.А.</t>
  </si>
  <si>
    <t>поліклініка міської лікарні швидкої медичної допомоги за адресою: м. Миколаїв, вул. Корабелів, 14 Б</t>
  </si>
  <si>
    <t>м. Миколаїв, вул. Корабелів, 14 Б</t>
  </si>
  <si>
    <t>міська лікарня №5, пр. Богоявленський, 336 у м. Миколаєві</t>
  </si>
  <si>
    <t>пр. Богоявленський, 336 у м. Миколаєві</t>
  </si>
  <si>
    <t>міська лікарня №4 по вул. Адмірала  Макарова, 1 у м. Миколаєві</t>
  </si>
  <si>
    <t>вул. Адмірала  Макарова, 1 у м. Миколаєві</t>
  </si>
  <si>
    <t>міська лікарня №3 за адресою: м. Миколаїв, вул. Космонавтів, 97</t>
  </si>
  <si>
    <t>м. Миколаїв, вул. Космонавтів, 96</t>
  </si>
  <si>
    <t>Миколаївський морський ліцей імені професора М. Александрова за адресою: вул. Даля, 11А,  м. Миколаїв</t>
  </si>
  <si>
    <t xml:space="preserve"> вул. Даля, 11А,  м. Миколаїв</t>
  </si>
  <si>
    <t>ДЮСШ № 7 за адресою: вул. Знаменська, 33/4,  м. Миколаїв</t>
  </si>
  <si>
    <t xml:space="preserve"> вул. Знаменська, 33/4,  м. Миколаїв</t>
  </si>
  <si>
    <t xml:space="preserve">Капітальний ремонт в частині заміни вікон та вхідних дверей </t>
  </si>
  <si>
    <t>Нерозподілена сума</t>
  </si>
  <si>
    <t>ТОВ "МПК "СТАНДАРТ"
ТОВ "ГОЛДЕН-БУД"</t>
  </si>
  <si>
    <t>Капітальний ремонт в частині заміни вікон та вхідних дверей в під’їздах будинків</t>
  </si>
  <si>
    <t>м. Миколаїв, вул. Вінграновського, 39</t>
  </si>
  <si>
    <t>ТОВ "А-ПРОЕКТСЕРВІС"
ТОВ "ГОЛДЕН-БУД"</t>
  </si>
  <si>
    <t>вул. Космонавтів, 104 А</t>
  </si>
  <si>
    <t>м. Миколаїв, вул. Космонавтів, 104 А</t>
  </si>
  <si>
    <t>вул. Космонавтів, 124 А</t>
  </si>
  <si>
    <t>м. Миколаїв, вул. Космонавтів, 124 А</t>
  </si>
  <si>
    <t>вул. Космонавтів, 118 А</t>
  </si>
  <si>
    <t>м. Миколаїв, вул. Космонавтів, 118 А</t>
  </si>
  <si>
    <t>вул. Космонавтів, 126/2</t>
  </si>
  <si>
    <t>м. Миколаїв, вул. Космонавтів, 126/2</t>
  </si>
  <si>
    <t>вул. Космонавтів, 102</t>
  </si>
  <si>
    <t>м. Миколаїв, вул. Космонавтів, 102</t>
  </si>
  <si>
    <t>ТОВ "МПК "СТАНДАРТ"
ТОВ "БК "БУДРЕМКОНСТРУКЦІЯ"</t>
  </si>
  <si>
    <t>вул. Ген. Карпенка, 59</t>
  </si>
  <si>
    <t>м. Миколаїв, вул. Ген. Карпенка, 59</t>
  </si>
  <si>
    <t>вул. Лазурна, 52 А</t>
  </si>
  <si>
    <t>м. Миколаїв, вул. Лазурна, 52 А</t>
  </si>
  <si>
    <t>вул. 11 Поздовжня, 45</t>
  </si>
  <si>
    <t>м. Миколаїв, вул. 11 Поздовжня, 45</t>
  </si>
  <si>
    <t>вул. Океанівська, 56 А</t>
  </si>
  <si>
    <t>м. Миколаїв, вул. Океанівська, 56 А</t>
  </si>
  <si>
    <t>ТОВ "А-ПРОЕКТСЕРВІС"
ТОВ "БК "БУДРЕМКОНСТРУКЦІЯ"</t>
  </si>
  <si>
    <t>вул. Крилова, 19 Б</t>
  </si>
  <si>
    <t>м. Миколаїв, вул. Крилова, 19 Б</t>
  </si>
  <si>
    <t>вул. В.Чорновола, 9</t>
  </si>
  <si>
    <t>м. Миколаїв, вул. В.Чорновола, 9</t>
  </si>
  <si>
    <t>вул. Озерна, 6</t>
  </si>
  <si>
    <t>м. Миколаїв, вул. Озерна, 6</t>
  </si>
  <si>
    <t>вул. Озерна, 15</t>
  </si>
  <si>
    <t>м. Миколаїв, вул. Озерна, 15</t>
  </si>
  <si>
    <t>вул. Озерна, 4</t>
  </si>
  <si>
    <t xml:space="preserve"> м. Миколаїв, вул. Озерна, 4</t>
  </si>
  <si>
    <t>вул. Ген.Карпенка, 67</t>
  </si>
  <si>
    <t>м. Миколаїв, вул. Ген.Карпенка, 67</t>
  </si>
  <si>
    <t xml:space="preserve"> вул. Лазурна, 28 Б</t>
  </si>
  <si>
    <t>м. Миколаїв, вул. Лазурна, 28 Б</t>
  </si>
  <si>
    <t>вул. Ген. Свиридова, 37</t>
  </si>
  <si>
    <t>м. Миколаїв, вул. Ген. Свиридова, 37</t>
  </si>
  <si>
    <t>вул. Космонавтів. 140 Г</t>
  </si>
  <si>
    <t>м. Миколаїв, вул. Космонавтів. 140 Г</t>
  </si>
  <si>
    <t>ТОВ "ГОЛДЕН-БУД"</t>
  </si>
  <si>
    <t>вул. Погранична, 78 В</t>
  </si>
  <si>
    <t>м. Миколаїв, вул. Погранична, 78 В</t>
  </si>
  <si>
    <t>вул. Лазурна, 30 Б</t>
  </si>
  <si>
    <t>м. Миколаїв, вул. Лазурна, 30 Б</t>
  </si>
  <si>
    <t>ТОВ "БК "ПРАЙМ ДЕВЕЛОПМЕНТ"</t>
  </si>
  <si>
    <t>вул. Лазурна, 52 Б</t>
  </si>
  <si>
    <t>м. Миколаїв, вул. Лазурна, 52 Б</t>
  </si>
  <si>
    <t>вул. Образцова, 4 А</t>
  </si>
  <si>
    <t xml:space="preserve"> м. Миколаїв, вул. Образцова, 4 А</t>
  </si>
  <si>
    <t>вул. Ген.Карпенка, 77</t>
  </si>
  <si>
    <t>м. Миколаїв, вул. Ген.Карпенка, 77</t>
  </si>
  <si>
    <t>пр. Богоявленський, 23</t>
  </si>
  <si>
    <t>м. Миколаїв, пр. Богоявленський, 23</t>
  </si>
  <si>
    <t>пр. Богоявленський, 38</t>
  </si>
  <si>
    <t>м. Миколаїв, пр. Богоявленський, 38</t>
  </si>
  <si>
    <t>вул. Ген.Карпенка, 37 А</t>
  </si>
  <si>
    <t>м. Миколаїв, вул. Ген.Карпенка, 37 А</t>
  </si>
  <si>
    <t>вул. Ген.Карпенка, 75</t>
  </si>
  <si>
    <t>м. Миколаїв, вул. Ген.Карпенка, 75</t>
  </si>
  <si>
    <t>пр. Богоявленський, 6</t>
  </si>
  <si>
    <t>м. Миколаїв, пр. Богоявленський, 6</t>
  </si>
  <si>
    <t>пр. Богоявленський, 43</t>
  </si>
  <si>
    <t>м. Миколаїв, пр. Богоявленський, 43</t>
  </si>
  <si>
    <t>ТОВ "БК "БУДРЕМКОНСТРУКЦІЯ"</t>
  </si>
  <si>
    <t>вул. Ск. Ізмалкова, 132</t>
  </si>
  <si>
    <t>м. Миколаїв, вул. Ск. Ізмалкова, 132</t>
  </si>
  <si>
    <t>вул. Китобоїв, 14 А</t>
  </si>
  <si>
    <t>м. Миколаїв, вул. Китобоїв, 14 А</t>
  </si>
  <si>
    <t>вул. Ген.Карпенка, 47</t>
  </si>
  <si>
    <t>м. Миколаїв, вул. Ген.Карпенка, 47</t>
  </si>
  <si>
    <t xml:space="preserve"> вул. Космонавтів, 154</t>
  </si>
  <si>
    <t>м. Миколаїв, вул. Космонавтів, 154</t>
  </si>
  <si>
    <t>Крилова, 19 А</t>
  </si>
  <si>
    <t>м. Миколаїв, вул. Крилова, 19 А</t>
  </si>
  <si>
    <t>Олійника, 3</t>
  </si>
  <si>
    <t>м. Миколаїв, вул. Олійника, 3</t>
  </si>
  <si>
    <t>вул. Космонавтів, 150</t>
  </si>
  <si>
    <t>м. Миколаїв, вул. Космонавтів, 150</t>
  </si>
  <si>
    <t>вул. Космонавтів, 82</t>
  </si>
  <si>
    <t>м. Миколаїв, вул. Космонавтів, 82</t>
  </si>
  <si>
    <t>пр. Героїв України, 75 В</t>
  </si>
  <si>
    <t xml:space="preserve"> м. Миколаїв, пр. Героїв України, 75 В</t>
  </si>
  <si>
    <t>вул. Терасна, 14</t>
  </si>
  <si>
    <t>м. Миколаїв, вул. Терасна, 14</t>
  </si>
  <si>
    <t>вул. Космонавтів, 58</t>
  </si>
  <si>
    <t>м. Миколаїв, вул. Космонавтів, 58</t>
  </si>
  <si>
    <t>вул. Океанівська, 38 А</t>
  </si>
  <si>
    <t>м. Миколаїв, вул. Океанівська, 38 А</t>
  </si>
  <si>
    <t>вул. Вінграновського, 41</t>
  </si>
  <si>
    <t>м. Миколаїв, вул. Вінграновського, 41</t>
  </si>
  <si>
    <t xml:space="preserve"> вул. Будівельників, 18</t>
  </si>
  <si>
    <t>м. Миколаїв, вул. Будівельників, 18</t>
  </si>
  <si>
    <t>вул. Миколаївська. 36</t>
  </si>
  <si>
    <t>м. Миколаїв, вул. Миколаївська. 36</t>
  </si>
  <si>
    <t>вул. Олега Ольжича, 5 В</t>
  </si>
  <si>
    <t>м. Миколаїв, вул. Олега Ольжича, 5 В</t>
  </si>
  <si>
    <t>вул. Олега Ольжича, 5 А</t>
  </si>
  <si>
    <t>м. Миколаїв, вул. Олега Ольжича, 5 А</t>
  </si>
  <si>
    <t>вул. Океанівська, 22</t>
  </si>
  <si>
    <t>м. Миколаїв, вул. Океанівська, 22</t>
  </si>
  <si>
    <t>вул. Космонавтів, 79</t>
  </si>
  <si>
    <t>м. Миколаїв, вул. Космонавтів, 79</t>
  </si>
  <si>
    <t>вул. Космонавтів, 69</t>
  </si>
  <si>
    <t>м. Миколаїв, вул. Космонавтів, 69</t>
  </si>
  <si>
    <t>вул. Космонавтів, 67</t>
  </si>
  <si>
    <t>м. Миколаїв, вул. Космонавтів, 67</t>
  </si>
  <si>
    <t>вул. Космонавтів, 60</t>
  </si>
  <si>
    <t>м. Миколаїв, вул. Космонавтів, 60</t>
  </si>
  <si>
    <t>вул. Космонавтів, 62</t>
  </si>
  <si>
    <t>м. Миколаїв, вул. Космонавтів, 62</t>
  </si>
  <si>
    <t>вул. Космонавтів, 64</t>
  </si>
  <si>
    <t xml:space="preserve"> м. Миколаїв, вул. Космонавтів, 64</t>
  </si>
  <si>
    <t xml:space="preserve"> вул. Колодязна, 14</t>
  </si>
  <si>
    <t>м. Миколаїв, вул. Колодязна, 14</t>
  </si>
  <si>
    <t>вул. Колодязна, 15</t>
  </si>
  <si>
    <t>м. Миколаїв, вул. Колодязна, 15</t>
  </si>
  <si>
    <t>вул. Колодязна, 16</t>
  </si>
  <si>
    <t>м. Миколаїв, вул. Колодязна, 16</t>
  </si>
  <si>
    <t>вул. Бузника, 4</t>
  </si>
  <si>
    <t>м. Миколаїв, вул. Бузника, 4</t>
  </si>
  <si>
    <t>вул. Бузника, 14</t>
  </si>
  <si>
    <t>м. Миколаїв, вул. Бузника, 14</t>
  </si>
  <si>
    <t>вул. 1 Слобідська, 13</t>
  </si>
  <si>
    <t>м. Миколаїв, вул. 1 Слобідська, 13</t>
  </si>
  <si>
    <t>вул. 3 Поздовжня, 21</t>
  </si>
  <si>
    <t>м. Миколаїв, вул. 3 Поздовжня, 21</t>
  </si>
  <si>
    <t>пр. Богоявленський, 18/1</t>
  </si>
  <si>
    <t>м. Миколаїв, пр. Богоявленський, 18/1</t>
  </si>
  <si>
    <t>пр. Богоявленський, 30</t>
  </si>
  <si>
    <t>м. Миколаїв, пр. Богоявленський, 30</t>
  </si>
  <si>
    <t>пр. Богоявленський, 40</t>
  </si>
  <si>
    <t>м. Миколаїв, пр. Богоявленський, 40</t>
  </si>
  <si>
    <t>пр. Богоявленський, 36</t>
  </si>
  <si>
    <t>м. Миколаїв, пр. Богоявленський, 36</t>
  </si>
  <si>
    <t>пр. Богоявленський, 34</t>
  </si>
  <si>
    <t>м. Миколаїв, пр. Богоявленський, 34</t>
  </si>
  <si>
    <t>пр. Богоявленський, 51 А</t>
  </si>
  <si>
    <t>м. Миколаїв, пр. Богоявленський, 51 А</t>
  </si>
  <si>
    <t>пр. Богоявленський, 32</t>
  </si>
  <si>
    <t>м. Миколаїв, пр. Богоявленський, 32</t>
  </si>
  <si>
    <t>пр. Богоявленський, 305</t>
  </si>
  <si>
    <t>м. Миколаїв, пр. Богоявленський, 305</t>
  </si>
  <si>
    <t xml:space="preserve"> вул. Біла, 32</t>
  </si>
  <si>
    <t>м. Миколаїв, вул. Біла, 32</t>
  </si>
  <si>
    <t>вул. Крилова, 5</t>
  </si>
  <si>
    <t>м. Миколаїв, вул. Крилова, 5</t>
  </si>
  <si>
    <t xml:space="preserve"> вул. Крилова, 3</t>
  </si>
  <si>
    <t>м. Миколаїв, вул. Крилова, 3</t>
  </si>
  <si>
    <t>вул. Заводська, 21/3</t>
  </si>
  <si>
    <t>м. Миколаїв, вул. Заводська, 21/3</t>
  </si>
  <si>
    <t>вул. Заводська, 21/2</t>
  </si>
  <si>
    <t>м. Миколаїв, вул. Заводська, 21/2</t>
  </si>
  <si>
    <t xml:space="preserve"> вул. Заводська, 21/1</t>
  </si>
  <si>
    <t>м. Миколаїв, вул. Заводська, 21/1</t>
  </si>
  <si>
    <t>вул. Заводська, 35/5</t>
  </si>
  <si>
    <t>м. Миколаїв, вул. Заводська, 35/5</t>
  </si>
  <si>
    <t>вул. Заводська, 2 Г</t>
  </si>
  <si>
    <t>м. Миколаїв, вул. Заводська, 2 Г</t>
  </si>
  <si>
    <t>вул. Заводська, 2 В</t>
  </si>
  <si>
    <t>м. Миколаїв, вул. Заводська, 2 В</t>
  </si>
  <si>
    <t>вул. Заводська, 3/2</t>
  </si>
  <si>
    <t>м. Миколаїв, вул. Заводська, 3/2</t>
  </si>
  <si>
    <t>ТОВ "АРХ-ДИЗАЙН"
ТОВ "БК "ПРАЙМ ДЕВЕЛОПМЕНТ"</t>
  </si>
  <si>
    <t>вул. Заводська, 13/3</t>
  </si>
  <si>
    <t>м. Миколаїв, вул. Заводська, 13/3</t>
  </si>
  <si>
    <t>вул. Заводська, 15/1</t>
  </si>
  <si>
    <t>м. Миколаїв, вул. Заводська, 15/1</t>
  </si>
  <si>
    <t>вул. Заводська, 13/2</t>
  </si>
  <si>
    <t>м. Миколаїв, вул. Заводська, 13/2</t>
  </si>
  <si>
    <t>вул. Погранична, 78 Б</t>
  </si>
  <si>
    <t>м. Миколаїв, вул. Погранична, 78 Б</t>
  </si>
  <si>
    <t>вул. 3 Слобідська, 51</t>
  </si>
  <si>
    <t>м. Миколаїв, вул. 3 Слобідська, 51</t>
  </si>
  <si>
    <t>вул. Садова, 31 А</t>
  </si>
  <si>
    <t>м. Миколаїв, вул. Садова, 31 А</t>
  </si>
  <si>
    <t>вул. Дачна, 1</t>
  </si>
  <si>
    <t>м. Миколаїв, вул. Дачна, 1</t>
  </si>
  <si>
    <t>вул. Дачна, 3</t>
  </si>
  <si>
    <t>м. Миколаїв, вул. Дачна, 3</t>
  </si>
  <si>
    <t>вул. Дачна, 7</t>
  </si>
  <si>
    <t>м. Миколаїв, вул. Дачна, 7</t>
  </si>
  <si>
    <t>вул. Дачна, 11 А</t>
  </si>
  <si>
    <t>м. Миколаїв, вул. Дачна, 11 А</t>
  </si>
  <si>
    <t>вул. Дачна, 5</t>
  </si>
  <si>
    <t>м. Миколаїв, вул. Дачна, 5</t>
  </si>
  <si>
    <t>вул. Чкалова, 215 Г</t>
  </si>
  <si>
    <t>м. Миколаїв, вул. Чкалова, 215 Г</t>
  </si>
  <si>
    <t>вул. Чкалова, 215 А</t>
  </si>
  <si>
    <t>м. Миколаїв, вул. Чкалова, 215 А</t>
  </si>
  <si>
    <t>вул. Шосейна, 1</t>
  </si>
  <si>
    <t>м. Миколаїв, вул. Шосейна, 1</t>
  </si>
  <si>
    <t>вул. Шосейна, 50</t>
  </si>
  <si>
    <t>м. Миколаїв, вул. Шосейна, 50</t>
  </si>
  <si>
    <t>вул. Робоча, 11</t>
  </si>
  <si>
    <t>м. Миколаїв, вул. Робоча, 11</t>
  </si>
  <si>
    <t>вул. Леваневців, 25/6</t>
  </si>
  <si>
    <t>м. Миколаїв, вул. Леваневців, 25/6</t>
  </si>
  <si>
    <t>вул. Ген.Карпенка, 1 А</t>
  </si>
  <si>
    <t xml:space="preserve"> м. Миколаїв, вул. Ген.Карпенка, 1 А</t>
  </si>
  <si>
    <t>вул. Ген.Карпенка, 2/2</t>
  </si>
  <si>
    <t>м. Миколаїв, вул. Ген.Карпенка, 2/2</t>
  </si>
  <si>
    <t>ТОВ "АРХ-ДИЗАЙН"
ТОВ "БК "БУДРЕМКОНСТРУКЦІЯ"</t>
  </si>
  <si>
    <t>вул. Ген.Карпенка, 7/1</t>
  </si>
  <si>
    <t>м. Миколаїв, вул. Ген.Карпенка, 7/1</t>
  </si>
  <si>
    <t>вул. Ген.Карпенка, 7</t>
  </si>
  <si>
    <t>м. Миколаїв, вул. Ген.Карпенка, 7</t>
  </si>
  <si>
    <t>вул. Ген.Карпенка, 30</t>
  </si>
  <si>
    <t>м. Миколаїв, вул. Ген.Карпенка, 30</t>
  </si>
  <si>
    <t>вул. Ген.Карпенка, 53</t>
  </si>
  <si>
    <t>м. Миколаїв, вул. Ген.Карпенка, 53</t>
  </si>
  <si>
    <t>вул. Ген.Карпенка, 25</t>
  </si>
  <si>
    <t>м. Миколаїв, вул. Ген.Карпенка, 25</t>
  </si>
  <si>
    <t>вул. Ген.Карпенка, 65</t>
  </si>
  <si>
    <t>м. Миколаїв, вул. Ген.Карпенка, 65</t>
  </si>
  <si>
    <t>вул. Ген.Карпенка, 8</t>
  </si>
  <si>
    <t>м. Миколаїв, вул. Ген.Карпенка, 8</t>
  </si>
  <si>
    <t>вул. Ген.Карпенка, 40</t>
  </si>
  <si>
    <t>м. Миколаїв, вул. Ген.Карпенка, 40</t>
  </si>
  <si>
    <t>вул. Крилова, 19/1</t>
  </si>
  <si>
    <t>м. Миколаїв, вул. Крилова, 19/1</t>
  </si>
  <si>
    <t>вул. Крилова, 19</t>
  </si>
  <si>
    <t>м. Миколаїв, вул. Крилова, 19</t>
  </si>
  <si>
    <t>вул. Озерна, 12</t>
  </si>
  <si>
    <t>м. Миколаїв, вул. Озерна, 12</t>
  </si>
  <si>
    <t>вул. Озерна, 21</t>
  </si>
  <si>
    <t>м. Миколаїв, вул. Озерна, 21</t>
  </si>
  <si>
    <t>вул. Озерна, 19</t>
  </si>
  <si>
    <t>м. Миколаїв, вул. Озерна, 19</t>
  </si>
  <si>
    <t>вул. Озерна, 13 А</t>
  </si>
  <si>
    <t>м. Миколаїв, вул. Озерна, 13 А</t>
  </si>
  <si>
    <t>вул. Озерна, 13</t>
  </si>
  <si>
    <t>м. Миколаїв, вул. Озерна, 13</t>
  </si>
  <si>
    <t>вул. Озерна, 29</t>
  </si>
  <si>
    <t>м. Миколаїв, вул. Озерна, 29</t>
  </si>
  <si>
    <t>вул. Ген.Карпенка, 27</t>
  </si>
  <si>
    <t>м. Миколаїв, вул. Ген.Карпенка, 27</t>
  </si>
  <si>
    <t>вул. Соборна, 1</t>
  </si>
  <si>
    <t>м. Миколаїв, вул. Соборна, 1</t>
  </si>
  <si>
    <t>вул. О. Григорєва, 4</t>
  </si>
  <si>
    <t>м. Миколаїв, вул. О. Григорєва, 4</t>
  </si>
  <si>
    <t>вул. О. Григорєва, 6</t>
  </si>
  <si>
    <t>м. Миколаїв, вул. О. Григорєва, 6</t>
  </si>
  <si>
    <t>вул. Морехідна, 5</t>
  </si>
  <si>
    <t>м. Миколаїв, вул. Морехідна, 5</t>
  </si>
  <si>
    <t>ТОВ "А-ПРОЕКТСЕРВІС" 
ТОВ "БК "БУДРЕМКОНСТРУКЦІЯ"</t>
  </si>
  <si>
    <t>вул. Громадянська, 44</t>
  </si>
  <si>
    <t>м. Миколаїв, вул. Громадянська, 44</t>
  </si>
  <si>
    <t>вул. Громадянська, 42</t>
  </si>
  <si>
    <t>м. Миколаїв, вул. Громадянська, 42</t>
  </si>
  <si>
    <t>вул. Морехідна, 3</t>
  </si>
  <si>
    <t>м. Миколаїв, вул. Морехідна, 3</t>
  </si>
  <si>
    <t>вул. Курортна,4</t>
  </si>
  <si>
    <t>м. Миколаїв, вул. Курортна,4</t>
  </si>
  <si>
    <t>вул. Курортна, 3 А</t>
  </si>
  <si>
    <t>м. Миколаїв, вул. Курортна, 3 А</t>
  </si>
  <si>
    <t>вул. Курортна, 2</t>
  </si>
  <si>
    <t>м. Миколаїв, вул. Курортна, 2</t>
  </si>
  <si>
    <t>вул. Курортна, 8</t>
  </si>
  <si>
    <t>м. Миколаїв, вул. Курортна, 8</t>
  </si>
  <si>
    <t>вул. Курортна, 10</t>
  </si>
  <si>
    <t>м. Миколаїв, вул. Курортна, 10</t>
  </si>
  <si>
    <t>вул. Курортна, 19</t>
  </si>
  <si>
    <t xml:space="preserve"> м. Миколаїв, вул. Курортна, 19</t>
  </si>
  <si>
    <t>вул. Курортна, 12</t>
  </si>
  <si>
    <t>м. Миколаїв, вул. Курортна, 12</t>
  </si>
  <si>
    <t>вул. Курортна, 7</t>
  </si>
  <si>
    <t>м. Миколаїв, вул. Курортна, 7</t>
  </si>
  <si>
    <t>вул. Курортна, 6</t>
  </si>
  <si>
    <t>м. Миколаїв, вул. Курортна, 6</t>
  </si>
  <si>
    <t>вул. Курортна, 12 А</t>
  </si>
  <si>
    <t>м. Миколаїв, вул. Курортна, 12 А</t>
  </si>
  <si>
    <t>вул. Курортна, 8 А</t>
  </si>
  <si>
    <t>м. Миколаїв, вул. Курортна, 8 А</t>
  </si>
  <si>
    <t>вул. Курортна, 10 А</t>
  </si>
  <si>
    <t>м. Миколаїв, вул. Курортна, 10 А</t>
  </si>
  <si>
    <t>провул. Транспортний, 2</t>
  </si>
  <si>
    <t>м. Миколаїв, провул. Транспортний, 2</t>
  </si>
  <si>
    <t>вул. Театральна, 37</t>
  </si>
  <si>
    <t>м. Миколаїв, вул. Театральна, 37</t>
  </si>
  <si>
    <t>вул. Театральна, 39</t>
  </si>
  <si>
    <t>м. Миколаїв, вул. Театральна, 39</t>
  </si>
  <si>
    <t>вул. Театральна, 35</t>
  </si>
  <si>
    <t>м. Миколаїв, вул. Театральна, 35</t>
  </si>
  <si>
    <t>вул. Театральна, 51/1</t>
  </si>
  <si>
    <t>м. Миколаїв, вул. Театральна, 51/1</t>
  </si>
  <si>
    <t>вул. Райдужна, 45</t>
  </si>
  <si>
    <t>м. Миколаїв, вул. Райдужна, 45</t>
  </si>
  <si>
    <t>вул. Райдужна, 49</t>
  </si>
  <si>
    <t>м. Миколаїв, вул. Райдужна, 49</t>
  </si>
  <si>
    <t>вул. О. Кошового, 6 А</t>
  </si>
  <si>
    <t>м. Миколаїв, вул. О. Кошового, 6 А</t>
  </si>
  <si>
    <t>вул. О. Кошового, 6</t>
  </si>
  <si>
    <t>м. Миколаїв, вул. О. Кошового, 6</t>
  </si>
  <si>
    <t>вул. О. Кошового, 1</t>
  </si>
  <si>
    <t>м. Миколаїв, вул. О. Кошового, 1</t>
  </si>
  <si>
    <t>вул. О. Кошового, 2</t>
  </si>
  <si>
    <t>м. Миколаїв, вул. О. Кошового, 2</t>
  </si>
  <si>
    <t xml:space="preserve"> вул. О. Кошового, 5</t>
  </si>
  <si>
    <t>м. Миколаїв, вул. О. Кошового, 5</t>
  </si>
  <si>
    <t>вул. О. Кошового, 2 А</t>
  </si>
  <si>
    <t>м. Миколаїв, вул. О. Кошового, 2 А</t>
  </si>
  <si>
    <t xml:space="preserve"> вул. О. Кошового, 4 А</t>
  </si>
  <si>
    <t>м. Миколаїв, вул. О. Кошового, 4 А</t>
  </si>
  <si>
    <t>вул. О. Кошового, 4</t>
  </si>
  <si>
    <t>м. Миколаїв, вул. О. Кошового, 4</t>
  </si>
  <si>
    <t>вул. Херсонське шосе 92</t>
  </si>
  <si>
    <t>м. Миколаїв, вул. Херсонське шосе 92</t>
  </si>
  <si>
    <t>вул. Херсонське шосе 96</t>
  </si>
  <si>
    <t>м. Миколаїв, вул. Херсонське шосе 96</t>
  </si>
  <si>
    <t>вул. В.Чорновола, 15</t>
  </si>
  <si>
    <t>м. Миколаїв, вул. В.Чорновола, 15</t>
  </si>
  <si>
    <t>вул. В.Чорновола, 11</t>
  </si>
  <si>
    <t>м. Миколаїв, вул. В.Чорновола, 11</t>
  </si>
  <si>
    <t>вул. В.Чорновола, 13</t>
  </si>
  <si>
    <t xml:space="preserve"> м. Миколаїв, вул. В.Чорновола, 13</t>
  </si>
  <si>
    <t>вул. В.Чорновола, 3</t>
  </si>
  <si>
    <t>м. Миколаїв, вул. В.Чорновола, 3</t>
  </si>
  <si>
    <t>вул. Терасна, 16</t>
  </si>
  <si>
    <t>м. Миколаїв, вул. Терасна, 16</t>
  </si>
  <si>
    <t>вул. Терасна, 12</t>
  </si>
  <si>
    <t>м. Миколаїв, вул. Терасна, 12</t>
  </si>
  <si>
    <t>вул. Терасна, 8</t>
  </si>
  <si>
    <t>м. Миколаїв, вул. Терасна, 8</t>
  </si>
  <si>
    <t>вул. Сінна, 44</t>
  </si>
  <si>
    <t>м. Миколаїв, вул. Сінна, 44</t>
  </si>
  <si>
    <t>пр. Першотравневий 63</t>
  </si>
  <si>
    <t>м. Миколаїв, пр. Першотравневий 63</t>
  </si>
  <si>
    <t>ТОВ "БК "БУДРЕМКОНСТРУКЦІЯ"
ФОП Нуждов П.А.</t>
  </si>
  <si>
    <t>пр. Богоявленський,33</t>
  </si>
  <si>
    <t>м. Миколаїв, пр. Богоявленський,33</t>
  </si>
  <si>
    <t xml:space="preserve">вул. 6 Слобідська,9 </t>
  </si>
  <si>
    <t xml:space="preserve">м. Миколаїв, вул. 6 Слобідська,9 </t>
  </si>
  <si>
    <t>ФОП Нуждов П.А.</t>
  </si>
  <si>
    <t xml:space="preserve">вул. 6 Слобідська,3 </t>
  </si>
  <si>
    <t xml:space="preserve">м. Миколаїв, вул. 6 Слобідська,3 </t>
  </si>
  <si>
    <t>вул. Лазурна, 10в</t>
  </si>
  <si>
    <t>м. Миколаїв, вул. Лазурна, 10в</t>
  </si>
  <si>
    <t>вул. Нагірна, 11</t>
  </si>
  <si>
    <t>м. Миколаїв, вул. Нагірна, 11</t>
  </si>
  <si>
    <t>вул. Крилова, 48</t>
  </si>
  <si>
    <t>м. Миколаїв, вул. Крилова, 48</t>
  </si>
  <si>
    <t>пр. Миру, 44</t>
  </si>
  <si>
    <t>м. Миколаїв, пр. Миру, 44</t>
  </si>
  <si>
    <t xml:space="preserve">вул. 295 Стрілецької Дивізії, 75А </t>
  </si>
  <si>
    <t xml:space="preserve">м. Миколаїв, вул. 295 Стрілецької Дивізії, 75А </t>
  </si>
  <si>
    <t xml:space="preserve">вул. Київська, 4   </t>
  </si>
  <si>
    <t xml:space="preserve">м. Миколаїв, вул. Київська, 4   </t>
  </si>
  <si>
    <t>вул. Лазурна, 28</t>
  </si>
  <si>
    <t>м. Миколаїв, вул. Лазурна, 28</t>
  </si>
  <si>
    <t xml:space="preserve">вул. Новозаводська, 8 </t>
  </si>
  <si>
    <t xml:space="preserve">м. Миколаїв, вул. Новозаводська, 8 </t>
  </si>
  <si>
    <t>ТОВ "ГОЛДЕН-БУД"
ФОП Нуждов П.А.</t>
  </si>
  <si>
    <t xml:space="preserve">вул. Південна, 31Б </t>
  </si>
  <si>
    <t xml:space="preserve">м. Миколаїв, вул. Південна, 31Б </t>
  </si>
  <si>
    <t xml:space="preserve">вул. Чайковського, 25 </t>
  </si>
  <si>
    <t xml:space="preserve">м. Миколаїв, вул. Чайковського, 25 </t>
  </si>
  <si>
    <t xml:space="preserve">вул. 4 Поздовжня, 87 </t>
  </si>
  <si>
    <t xml:space="preserve">м. Миколаїв, вул. 4 Поздовжня, 87 </t>
  </si>
  <si>
    <t>пр. Богоявленський, 53</t>
  </si>
  <si>
    <t>м. Миколаїв, пр. Богоявленський, 53</t>
  </si>
  <si>
    <t>вул. 12 Поздовжня, 1</t>
  </si>
  <si>
    <t>м. Миколаїв, вул. 12 Поздовжня, 1</t>
  </si>
  <si>
    <t>вул. Китобоїв, 7</t>
  </si>
  <si>
    <t>м. Миколаїв, вул. Китобоїв, 7</t>
  </si>
  <si>
    <t>вул. Миколаївська, 38</t>
  </si>
  <si>
    <t>м. Миколаїв, вул. Миколаївська, 38</t>
  </si>
  <si>
    <t>пр.Богоявленський, 53А</t>
  </si>
  <si>
    <t>м. Миколаїв, пр.Богоявленський, 53А</t>
  </si>
  <si>
    <t>вул. Ген.Карпенка, 37</t>
  </si>
  <si>
    <t>м. Миколаїв, вул. Ген.Карпенка, 37</t>
  </si>
  <si>
    <t>пр.Центральний, 8</t>
  </si>
  <si>
    <t>м. Миколаїв, пр.Центральний, 8</t>
  </si>
  <si>
    <t>вул. Ген.Карпенка, 22</t>
  </si>
  <si>
    <t>м. Миколаїв, вул. Ген.Карпенка, 22</t>
  </si>
  <si>
    <t>вул. Ген.Карпенка, 3</t>
  </si>
  <si>
    <t>м. Миколаїв, вул. Ген.Карпенка, 3</t>
  </si>
  <si>
    <t>вул. Космонавтів, 90</t>
  </si>
  <si>
    <t>м. Миколаїв, вул. Космонавтів, 90</t>
  </si>
  <si>
    <t>вул. Космонавтів, 88</t>
  </si>
  <si>
    <t>м. Миколаїв, вул. Космонавтів, 88</t>
  </si>
  <si>
    <t>вул. Театральна, 49/2</t>
  </si>
  <si>
    <t>м. Миколаїв, вул. Театральна, 49/2</t>
  </si>
  <si>
    <t>пр. Миру,70</t>
  </si>
  <si>
    <t>м. Миколаїв, пр. Миру,70</t>
  </si>
  <si>
    <t>вул. Космонавтів. 148Г</t>
  </si>
  <si>
    <t>м. Миколаїв, вул. Космонавтів. 148Г</t>
  </si>
  <si>
    <t>вул. Крилова, 1</t>
  </si>
  <si>
    <t>м. Миколаїв, вул. Крилова, 1</t>
  </si>
  <si>
    <t>вул. Миколаївська, 22</t>
  </si>
  <si>
    <t>м. Миколаїв, вул. Миколаївська, 22</t>
  </si>
  <si>
    <t>вул. Погранична,78Г</t>
  </si>
  <si>
    <t xml:space="preserve"> м. Миколаїв, вул. Погранична,78Г</t>
  </si>
  <si>
    <t>пр.Центральний, 8Б</t>
  </si>
  <si>
    <t>м. Миколаїв, пр.Центральний, 8Б</t>
  </si>
  <si>
    <t>вул. Крилова,8/1</t>
  </si>
  <si>
    <t>м. Миколаїв, вул. Крилова,8/1</t>
  </si>
  <si>
    <t>вул. Лазурна, 4</t>
  </si>
  <si>
    <t>м. Миколаїв, вул. Лазурна, 4</t>
  </si>
  <si>
    <t>вул. Лазурна, 52</t>
  </si>
  <si>
    <t>м. Миколаїв, вул. Лазурна, 52</t>
  </si>
  <si>
    <t>вул. Лазурна, 42 Б</t>
  </si>
  <si>
    <t>м. Миколаїв, вул. Лазурна, 42 Б</t>
  </si>
  <si>
    <t xml:space="preserve">вул. Глінки, 6 </t>
  </si>
  <si>
    <t xml:space="preserve">м. Миколаїв, вул. Глінки, 6 </t>
  </si>
  <si>
    <t xml:space="preserve">вул.Айвазовського, 5 А </t>
  </si>
  <si>
    <t xml:space="preserve">м. Миколаїв, вул.Айвазовського, 5 А </t>
  </si>
  <si>
    <t xml:space="preserve">вул.Космонавтів, 148Б </t>
  </si>
  <si>
    <t xml:space="preserve">м. Миколаїв, вул.Космонавтів, 148Б </t>
  </si>
  <si>
    <t>ТОВ "А-ПРОЕКТСЕРВІС"
ТОВ "БК "ПРАЙМ ДЕВЕЛОПМЕНТ"</t>
  </si>
  <si>
    <t>вул. 12 Поздовжня, 5</t>
  </si>
  <si>
    <t>м. Миколаїв, вул. 12 Поздовжня, 5</t>
  </si>
  <si>
    <t>вул. Озерна, 39</t>
  </si>
  <si>
    <t>м. Миколаїв, вул. Озерна, 39</t>
  </si>
  <si>
    <t xml:space="preserve"> м. Миколаїв, вул. Озерна, 47</t>
  </si>
  <si>
    <t>вул. Озерна, 45</t>
  </si>
  <si>
    <t>м. Миколаїв, вул. Озерна, 45</t>
  </si>
  <si>
    <t>вул. Озерна, 3</t>
  </si>
  <si>
    <t>м. Миколаїв, вул. Озерна, 3</t>
  </si>
  <si>
    <t>вул. Лазурна, 32 А</t>
  </si>
  <si>
    <t>м. Миколаїв, вул. Лазурна, 32 А</t>
  </si>
  <si>
    <t>вул. Лазурна, 42 А</t>
  </si>
  <si>
    <t>м. Миколаїв, вул. Лазурна, 42 А</t>
  </si>
  <si>
    <t>вул. Лазурна, 40</t>
  </si>
  <si>
    <t>м. Миколаїв, вул. Лазурна, 40</t>
  </si>
  <si>
    <t>вул. Лазурна, 38</t>
  </si>
  <si>
    <t>м. Миколаїв, вул. Лазурна, 38</t>
  </si>
  <si>
    <t>вул. Лазурна, 30</t>
  </si>
  <si>
    <t>м. Миколаїв, вул. Лазурна, 30</t>
  </si>
  <si>
    <t>вул. Лазурна, 16 Б</t>
  </si>
  <si>
    <t>м. Миколаїв, вул. Лазурна, 16 Б</t>
  </si>
  <si>
    <t>вул. Лазурна, 16 Г</t>
  </si>
  <si>
    <t>м. Миколаїв, вул. Лазурна, 16 Г</t>
  </si>
  <si>
    <t>вул. Лазурна, 18 Б</t>
  </si>
  <si>
    <t>м. Миколаїв, вул. Лазурна, 18 Б</t>
  </si>
  <si>
    <t>вул. Лазурна, 26</t>
  </si>
  <si>
    <t xml:space="preserve"> м. Миколаїв, вул. Лазурна, 26</t>
  </si>
  <si>
    <t>вул. Лазурна, 20</t>
  </si>
  <si>
    <t>м. Миколаїв, вул. Лазурна, 20</t>
  </si>
  <si>
    <t xml:space="preserve"> вул. Лазурна, 20 А</t>
  </si>
  <si>
    <t>м. Миколаїв, вул. Лазурна, 20 А</t>
  </si>
  <si>
    <t xml:space="preserve"> вул. Лазурна, 38 А</t>
  </si>
  <si>
    <t xml:space="preserve"> м. Миколаїв, вул. Лазурна, 38 А</t>
  </si>
  <si>
    <t>вул. Лазурна, 42 В</t>
  </si>
  <si>
    <t>м. Миколаїв, вул. Лазурна, 42 В</t>
  </si>
  <si>
    <t>пр. Миру, 27 В</t>
  </si>
  <si>
    <t>м. Миколаїв, пр. Миру, 27 В</t>
  </si>
  <si>
    <t>пр. Миру, 64</t>
  </si>
  <si>
    <t>м. Миколаїв, пр. Миру, 64</t>
  </si>
  <si>
    <t>вул. Дмитра Яворницького, 24</t>
  </si>
  <si>
    <t>м. Миколаїв, вул. Дмитра Яворницького, 24</t>
  </si>
  <si>
    <t>пр.Героїв України, 75 Г</t>
  </si>
  <si>
    <t>м. Миколаїв, пр.Героїв України, 75 Г</t>
  </si>
  <si>
    <t xml:space="preserve"> вул. Крилова, 38 В</t>
  </si>
  <si>
    <t>м. Миколаїв, вул. Крилова, 38 В</t>
  </si>
  <si>
    <t>ТОВ "МПК "СТАНДАРТ"
ТОВ "БК "ПРАЙМ ДЕВЕЛОПМЕНТ"</t>
  </si>
  <si>
    <t>вул. Лазурна, 16</t>
  </si>
  <si>
    <t>м. Миколаїв, вул. Лазурна, 16</t>
  </si>
  <si>
    <t>вул. Лазурна, 32</t>
  </si>
  <si>
    <t>м. Миколаїв, вул. Лазурна, 32</t>
  </si>
  <si>
    <t>вул. Лазурна, 28 А</t>
  </si>
  <si>
    <t>м. Миколаїв, вул. Лазурна, 28 А</t>
  </si>
  <si>
    <t>вул. Крилова, 12/3</t>
  </si>
  <si>
    <t>м. Миколаїв, вул. Крилова, 12/3</t>
  </si>
  <si>
    <t>вул. Крилова, 50</t>
  </si>
  <si>
    <t xml:space="preserve"> м. Миколаїв, вул. Крилова, 50</t>
  </si>
  <si>
    <t>вул. Лазурна, 26 А</t>
  </si>
  <si>
    <t>м. Миколаїв, вул. Лазурна, 26 А</t>
  </si>
  <si>
    <t>вул. Крилова, 44 А</t>
  </si>
  <si>
    <t>м. Миколаїв, вул. Крилова, 44 А</t>
  </si>
  <si>
    <t>вул. Крилова, 44</t>
  </si>
  <si>
    <t>м. Миколаїв, вул. Крилова, 44</t>
  </si>
  <si>
    <t>вул. Херсонське шосе, 94</t>
  </si>
  <si>
    <t>м. Миколаїв, вул. Херсонське шосе, 94</t>
  </si>
  <si>
    <t>вул. 6 Слобідська, 46 А</t>
  </si>
  <si>
    <t xml:space="preserve"> м. Миколаїв, вул. 6 Слобідська, 46 А</t>
  </si>
  <si>
    <t>вул. Лазурна, 10 Б</t>
  </si>
  <si>
    <t>м. Миколаїв, вул. Лазурна, 10 Б</t>
  </si>
  <si>
    <t>вул. Новобузька, 99</t>
  </si>
  <si>
    <t xml:space="preserve"> м. Миколаїв, вул. Новобузька, 99</t>
  </si>
  <si>
    <t>пр. Миру, 17 В</t>
  </si>
  <si>
    <t xml:space="preserve"> м. Миколаїв, пр. Миру, 17 В</t>
  </si>
  <si>
    <t>вул. Театральна, 33 А</t>
  </si>
  <si>
    <t>м. Миколаїв, вул. Театральна, 33 А</t>
  </si>
  <si>
    <t>пр. Богоявленський, 8</t>
  </si>
  <si>
    <t>м. Миколаїв, пр. Богоявленський, 8</t>
  </si>
  <si>
    <t>пр. Богоявленський, 10</t>
  </si>
  <si>
    <t>м. Миколаїв, пр. Богоявленський, 10</t>
  </si>
  <si>
    <t>пр. Богоявленський, 12</t>
  </si>
  <si>
    <t>м. Миколаїв, пр. Богоявленський, 12</t>
  </si>
  <si>
    <t>пр. Миру, 21 Б</t>
  </si>
  <si>
    <t>м. Миколаїв, пр. Миру, 21 Б</t>
  </si>
  <si>
    <t>вул. Миколаївська, 5</t>
  </si>
  <si>
    <t>м. Миколаїв, вул. Миколаївська, 5</t>
  </si>
  <si>
    <t>пр. Миру, 26</t>
  </si>
  <si>
    <t>м. Миколаїв, пр. Миру, 26</t>
  </si>
  <si>
    <t>вул. Космонавтів, 49</t>
  </si>
  <si>
    <t>м. Миколаїв, вул. Космонавтів, 49</t>
  </si>
  <si>
    <t>вул. Космонавтів, 138 Г</t>
  </si>
  <si>
    <t>м. Миколаїв, вул. Космонавтів, 138 Г</t>
  </si>
  <si>
    <t xml:space="preserve"> вул. Південна, 48</t>
  </si>
  <si>
    <t>м. Миколаїв, вул. Південна, 48</t>
  </si>
  <si>
    <t>пр. Богоявленський, 31</t>
  </si>
  <si>
    <t xml:space="preserve"> м. Миколаїв, пр. Богоявленський, 31</t>
  </si>
  <si>
    <t>вул. Космонавтів, 138 В</t>
  </si>
  <si>
    <t xml:space="preserve"> м. Миколаїв, вул. Космонавтів, 138 В</t>
  </si>
  <si>
    <t>вул.Молодогвардійська,32</t>
  </si>
  <si>
    <t>м. Миколаїв, вул.Молодогвардійська,32</t>
  </si>
  <si>
    <t>пр. Миру, 27 А</t>
  </si>
  <si>
    <t>м. Миколаїв, пр. Миру, 27 А</t>
  </si>
  <si>
    <t>вул. Олеся Бердника, 26</t>
  </si>
  <si>
    <t xml:space="preserve"> м. Миколаїв, вул. Олеся Бердника, 26</t>
  </si>
  <si>
    <t>вул. Шкільна, 2</t>
  </si>
  <si>
    <t>м. Миколаїв, вул. Шкільна, 2</t>
  </si>
  <si>
    <t>вул. Китобоїв, 4</t>
  </si>
  <si>
    <t>м. Миколаїв, вул. Китобоїв, 4</t>
  </si>
  <si>
    <t>вул. Космонавтів, 142</t>
  </si>
  <si>
    <t>м. Миколаїв, вул. Космонавтів, 142</t>
  </si>
  <si>
    <t>ТОВ "МПК "СТАНДАРТ"
ТОВ "БК "БУДРЕМКОНСТРУКЦІЯ"
ФОП Нуждов П.А.</t>
  </si>
  <si>
    <t>вул. Миколаївська, 30</t>
  </si>
  <si>
    <t>м. Миколаїв, вул. Миколаївська, 30</t>
  </si>
  <si>
    <t>пр. Миру, 25 А</t>
  </si>
  <si>
    <t>м. Миколаїв, пр. Миру, 25 А</t>
  </si>
  <si>
    <t>пр.Богоявленський, 16 А</t>
  </si>
  <si>
    <t>м. Миколаїв, пр.Богоявленський, 16 А</t>
  </si>
  <si>
    <t>пр.Богоявленський, 16</t>
  </si>
  <si>
    <t>м. Миколаїв, пр.Богоявленський, 16</t>
  </si>
  <si>
    <t>пр.Богоявленський, 14 А</t>
  </si>
  <si>
    <t>м. Миколаїв, пр.Богоявленський, 14 А</t>
  </si>
  <si>
    <t>вул. Космонавтів, 59</t>
  </si>
  <si>
    <t>м. Миколаїв, вул. Космонавтів, 59</t>
  </si>
  <si>
    <t>вул. Троїцька, 222</t>
  </si>
  <si>
    <t>м. Миколаїв, вул. Троїцька, 222</t>
  </si>
  <si>
    <t>вул. Троїцька, 220</t>
  </si>
  <si>
    <t>м. Миколаїв, вул. Троїцька, 220</t>
  </si>
  <si>
    <t>вул. Новозаводська, 6</t>
  </si>
  <si>
    <t>м. Миколаїв, вул. Новозаводська, 6</t>
  </si>
  <si>
    <t>вул. Китобоїв, 6</t>
  </si>
  <si>
    <t>м. Миколаїв, вул. Китобоїв, 6</t>
  </si>
  <si>
    <t>вул. Театральна, 49</t>
  </si>
  <si>
    <t>м. Миколаїв, вул. Театральна, 49</t>
  </si>
  <si>
    <t>вул. Космонавтів, 92</t>
  </si>
  <si>
    <t>м. Миколаїв, вул. Космонавтів, 92</t>
  </si>
  <si>
    <t>пр.Богоявленський, 29</t>
  </si>
  <si>
    <t>м. Миколаїв, пр.Богоявленський, 29</t>
  </si>
  <si>
    <t>вул.Чайковського, 6 А</t>
  </si>
  <si>
    <t>м. Миколаїв, вул.Чайковського, 6 А</t>
  </si>
  <si>
    <t>ТОВ "ІНРОЕКТБУД"
ТОВ "БК "БУДРЕМКОНСТРУКЦІЯ"</t>
  </si>
  <si>
    <t>вул. Знаменська, 45</t>
  </si>
  <si>
    <t>м. Миколаїв, вул. Знаменська, 45</t>
  </si>
  <si>
    <t>вул. Райдужна, 32</t>
  </si>
  <si>
    <t>м. Миколаїв, вул. Райдужна, 32</t>
  </si>
  <si>
    <t>вул. Райдужна, 34</t>
  </si>
  <si>
    <t>м. Миколаїв, вул. Райдужна, 34</t>
  </si>
  <si>
    <t>вул. Райдужна, 53</t>
  </si>
  <si>
    <t>м. Миколаїв, вул. Райдужна, 53</t>
  </si>
  <si>
    <t>ТОВ"ІНПРОЕКТБУД"
ТОВ "БК "БУДРЕМКОНСТРУКЦІЯ"</t>
  </si>
  <si>
    <t>вул. Знаменська, 49</t>
  </si>
  <si>
    <t>м. Миколаїв, вул. Знаменська, 49</t>
  </si>
  <si>
    <t>вул. Знаменська, 47</t>
  </si>
  <si>
    <t>м. Миколаїв, вул. Знаменська, 47</t>
  </si>
  <si>
    <t>пр.Богоявленський, 318/1</t>
  </si>
  <si>
    <t>м. Миколаїв, пр.Богоявленський, 318/1</t>
  </si>
  <si>
    <t>пр.Богоявленський, 318</t>
  </si>
  <si>
    <t xml:space="preserve"> м. Миколаїв, пр.Богоявленський, 318</t>
  </si>
  <si>
    <t>ТОВ "ІНРОЕКТБУД"
ТОВ "БК "БУДРЕМКОНСТРУКЦІЯ"
ФОП Нуждов П.А.</t>
  </si>
  <si>
    <t>вул. Райдужна, 47</t>
  </si>
  <si>
    <t>м. Миколаїв, вул. Райдужна, 47</t>
  </si>
  <si>
    <t>вул. Знаменська, 41</t>
  </si>
  <si>
    <t>м. Миколаїв, вул. Знаменська, 41</t>
  </si>
  <si>
    <t>вул. Вокзальна, 49</t>
  </si>
  <si>
    <t>м. Миколаїв, вул. Вокзальна, 49</t>
  </si>
  <si>
    <t>вул. Райдужна, 63</t>
  </si>
  <si>
    <t>м. Миколаїв, вул. Райдужна, 63</t>
  </si>
  <si>
    <t>вул. Райдужна, 51</t>
  </si>
  <si>
    <t>м. Миколаїв, вул. Райдужна, 51</t>
  </si>
  <si>
    <t>вул. Райдужна, 43</t>
  </si>
  <si>
    <t>м. Миколаїв, вул. Райдужна, 43</t>
  </si>
  <si>
    <t>вул. Вокзальна, 53</t>
  </si>
  <si>
    <t>м. Миколаїв, вул. Вокзальна, 53</t>
  </si>
  <si>
    <t>вул. Райдужна, 61</t>
  </si>
  <si>
    <t>м. Миколаїв, вул. Райдужна, 61</t>
  </si>
  <si>
    <t>вул. Вокзальна, 55</t>
  </si>
  <si>
    <t>м. Миколаїв, вул. Вокзальна, 55</t>
  </si>
  <si>
    <t>вул. Вокзальна, 57</t>
  </si>
  <si>
    <t>м. Миколаїв, вул. Вокзальна, 57</t>
  </si>
  <si>
    <t>Виділено  на капітальний ремонт інших об'єктів</t>
  </si>
  <si>
    <t>Реконструкція з термомодернізацією</t>
  </si>
  <si>
    <t>ЗОШ І-ІІІ ст. № 46 Миколаївської міської ради Миколаївської області за адресою: м. Миколаїв, вул. 9-а Поздовжня, 10</t>
  </si>
  <si>
    <t>м. Миколаїв, вул. 9-а Поздовжня, 9</t>
  </si>
  <si>
    <t>Разом  коштів передано на виконання делегованих повноваженнь КП УКС</t>
  </si>
  <si>
    <t>Реконструкція котельні</t>
  </si>
  <si>
    <t xml:space="preserve"> загальноосвітня школа І-ІІІ ступенів № 23,  за адресою: м. Миколаїв, вул. Гарнізонна, 10.</t>
  </si>
  <si>
    <t>м. Миколаїв, вул. Гарнізонна, 10.</t>
  </si>
  <si>
    <t>Реконструкція з термосанацією</t>
  </si>
  <si>
    <t xml:space="preserve">загальноосвітня школа І-ІІІ ступенів №60 за адресою: м. Миколаїв, вул. Чорноморська, 1-А. </t>
  </si>
  <si>
    <t>м. Миколаїв, вул. Чорноморська, 1-А</t>
  </si>
  <si>
    <t xml:space="preserve">загальноосвітня школа І-ІІІ ступенів №3 за адресою: м. Миколаїв, вул. Чкалова, 114. </t>
  </si>
  <si>
    <t xml:space="preserve">м. Миколаїв, вул. Чкалова, 114. </t>
  </si>
  <si>
    <t>Експертний звіт від 05.09.2018 №5169/е/17         ФОП Нуждов Павло Анатолійович
ТОВ "ПІВДЕНЬ БУДСЕРВІС" ФОП Мовенко С.М.</t>
  </si>
  <si>
    <t>загальноосвітня школа  І-ІІІ ступенів № 45 за адресою: м. Миколаїв, вул. 4 Поздовжня, 58.</t>
  </si>
  <si>
    <t xml:space="preserve"> м. Миколаїв, вул. 4 Поздовжня, 58.</t>
  </si>
  <si>
    <t>загальноосвітня школа  І-ІІІ ступенів № 4 за адресою: м. Миколаїв, вул. Мала Морська, 78.</t>
  </si>
  <si>
    <t>м. Миколаїв, вул. Мала Морська, 78.</t>
  </si>
  <si>
    <t>Експертний звіт від 31.01.2018 №124/17-М            ТОВ "ІНПРОЕКТБУД"          ТОВ Голден-Буд" ФОП Королюк</t>
  </si>
  <si>
    <t>загальноосвітня школа  І-ІІІ ступенів № 29 за адресою: м. Миколаїв, вул. Гетьмана Сагайдачного (Ватутіна),124.</t>
  </si>
  <si>
    <t xml:space="preserve"> м. Миколаїв, вул. Гетьмана Сагайдачного (Ватутіна),124.</t>
  </si>
  <si>
    <t>дитячий будинок сімейного типу за адресою: м. Миколаїв, вул. Надпрудна, 15.</t>
  </si>
  <si>
    <t xml:space="preserve"> м. Миколаїв, вул. Надпрудна, 15.</t>
  </si>
  <si>
    <t xml:space="preserve">Експертний звіт №021-19Д від 20.02.19    ФОП Ігнатьєва Ю.О.                                 ФОП Павлов А.А.                          </t>
  </si>
  <si>
    <t>загальноосвітня школа І-ІІІ ступенів № 23 за адресою: м. Миколаїв, вул. Гарнізонна, 10.</t>
  </si>
  <si>
    <t xml:space="preserve"> Експертний звіт №15-0226-18 від 14.09.18
ТОВ "ЮЖНИЙ ГОРОД"        ТОВ "Голден-Буд" ФОП Мовенко</t>
  </si>
  <si>
    <t>дошкільний навчальний заклад № 144 за адресою: м. Миколаїв, вул. Океанівська, 42.</t>
  </si>
  <si>
    <t>м. Миколаїв, вул. Океанівська, 42.</t>
  </si>
  <si>
    <t>ТОВ "Голден-Буд" Експертний звіт від 13.04.2018 №854-18Д ТОВ "ПРОЕКТ-КОМПЛЕКТ-СТРОЙ"
ФОП Королюк М.А.</t>
  </si>
  <si>
    <t>загальноосвітня школа І-ІІІ ступенів № 14 за адресою: м. Миколаїв, вул. Вільна (Свободна), 38 .</t>
  </si>
  <si>
    <t>м. Миколаїв, вул. Вільна (Свободна), 38 .</t>
  </si>
  <si>
    <t>Експертний звіт від 26.04.2018 №4652/е/17
ТОВ "ПІВДЕНЬБУД МИКОЛАЇВ ЛТД"
ФОП Мовенко С.М.
ФОП Нуждов П.А.</t>
  </si>
  <si>
    <t>дошкільний навчальний заклад № 87 за адресою: м. Миколаїв, вул. Привільна, 57.</t>
  </si>
  <si>
    <t>м. Миколаїв, вул. Привільна, 57.</t>
  </si>
  <si>
    <t>Експертний звіт від 20.12.2017 №15-0707-17  ТОВ "ІНПРОЕКТБУД"  ТОВ "Південьбуд"           ФОП Мовенко С.М.</t>
  </si>
  <si>
    <t>дошкільний навчальний заклад № 123 за адресою: м. Миколаїв, вул. Радісна, 4.</t>
  </si>
  <si>
    <t>м. Миколаїв, вул. Радісна, 4.</t>
  </si>
  <si>
    <t>Експертний звіт від 13.12.2017 №15-0671-17 ФОП Любенко І.В.  ТОВ Голден-Буд"   ФОП Нуждов П.А.</t>
  </si>
  <si>
    <t>дошкільний навчальний заклад № 106 за адресою: м. Миколаїв, пр. Богоявленський, 297.</t>
  </si>
  <si>
    <t xml:space="preserve"> м. Миколаїв, пр. Богоявленський, 297.</t>
  </si>
  <si>
    <t>Департамент енергетики, енергозбередення та запровадження інноваційних технологій Миколаївської міської ради.</t>
  </si>
  <si>
    <t>Виконавчий комітет Миколаївської міської ради</t>
  </si>
  <si>
    <t>ФОП Ваховський</t>
  </si>
  <si>
    <t xml:space="preserve">Капітальний ремонт дорожнього покриття </t>
  </si>
  <si>
    <r>
      <t xml:space="preserve">Капітальний ремонт дорожнього покриття по </t>
    </r>
    <r>
      <rPr>
        <b/>
        <sz val="12"/>
        <rFont val="Times New Roman"/>
        <family val="1"/>
        <charset val="204"/>
      </rPr>
      <t>пров.Середній</t>
    </r>
    <r>
      <rPr>
        <sz val="12"/>
        <rFont val="Times New Roman"/>
        <family val="1"/>
        <charset val="204"/>
      </rPr>
      <t xml:space="preserve"> у приватному секторі в Інгульському районі м. Миколаєва (виготовлення ПКД та експертиза)</t>
    </r>
  </si>
  <si>
    <r>
      <t xml:space="preserve">Капітальний ремонт дорожнього покриття по </t>
    </r>
    <r>
      <rPr>
        <b/>
        <sz val="12"/>
        <rFont val="Times New Roman"/>
        <family val="1"/>
        <charset val="204"/>
      </rPr>
      <t>пров.7 Нагірний</t>
    </r>
    <r>
      <rPr>
        <sz val="12"/>
        <rFont val="Times New Roman"/>
        <family val="1"/>
        <charset val="204"/>
      </rPr>
      <t xml:space="preserve"> у приватному секторі в Інгульському районі м. Миколаєва (виготовлення ПКД та експертиза)</t>
    </r>
  </si>
  <si>
    <r>
      <t xml:space="preserve">Капітальний ремонт дорожнього покриття по </t>
    </r>
    <r>
      <rPr>
        <b/>
        <sz val="12"/>
        <color indexed="8"/>
        <rFont val="Times New Roman"/>
        <family val="1"/>
        <charset val="204"/>
      </rPr>
      <t>вул.Віті Хоменка</t>
    </r>
    <r>
      <rPr>
        <sz val="12"/>
        <color indexed="8"/>
        <rFont val="Times New Roman"/>
        <family val="1"/>
        <charset val="204"/>
      </rPr>
      <t xml:space="preserve"> в Інгульському районі  м.Миколаєва (експертний звіт №15-0394-18 від 05.12.2018) </t>
    </r>
  </si>
  <si>
    <t>ПП "Будівельна фірма "Миколаївоблавтодор", ФОП Ваховський</t>
  </si>
  <si>
    <r>
      <t xml:space="preserve">Капітальний ремонт дорожнього покриття по </t>
    </r>
    <r>
      <rPr>
        <b/>
        <sz val="12"/>
        <rFont val="Times New Roman"/>
        <family val="1"/>
        <charset val="204"/>
      </rPr>
      <t>вул.Передова</t>
    </r>
    <r>
      <rPr>
        <sz val="12"/>
        <rFont val="Times New Roman"/>
        <family val="1"/>
        <charset val="204"/>
      </rPr>
      <t xml:space="preserve"> від буд.№ 95 до вул.Паркової (1 черга)  у приватному секторі в Інгульському районі м. Миколаєва»</t>
    </r>
  </si>
  <si>
    <t>Свєтолюкс - Елелектромонтаж</t>
  </si>
  <si>
    <t>Капітальний ремонт мереж зовнішнього освітлення</t>
  </si>
  <si>
    <t>Капітальний ремонт мереж зовнішнього освітлення по вул.Сечевая, Теплая, Машиностроителей, от конечной трамвая7 до ул.Машиностроителей</t>
  </si>
  <si>
    <t>Збереження та утримання на належному рівні зеленої зони населеного пункту та поліпшення його екологічних умов</t>
  </si>
  <si>
    <t>Розроблення концепції скверу на Херсонському шосе</t>
  </si>
  <si>
    <t>Скейт парк на Херсонському шосе</t>
  </si>
  <si>
    <t>капітальний ремонт тротуарів</t>
  </si>
  <si>
    <r>
      <t xml:space="preserve">Капітальний ремонт тротуару приватного сектору по </t>
    </r>
    <r>
      <rPr>
        <b/>
        <sz val="12"/>
        <rFont val="Times New Roman"/>
        <family val="1"/>
        <charset val="204"/>
      </rPr>
      <t xml:space="preserve">вул.Вінграновського </t>
    </r>
    <r>
      <rPr>
        <sz val="12"/>
        <rFont val="Times New Roman"/>
        <family val="1"/>
        <charset val="204"/>
      </rPr>
      <t>від буд.№37 до буд.№128 по вул.Космонавтів в Інгульському районі м.Миколаєва (виготовлення ПКД та проведення експертизи)</t>
    </r>
  </si>
  <si>
    <t>капітальний ремонт  зупинок громадського транспорту</t>
  </si>
  <si>
    <r>
      <t xml:space="preserve">Капітальний ремонт зупинки громадського транспорту по </t>
    </r>
    <r>
      <rPr>
        <b/>
        <sz val="12"/>
        <rFont val="Times New Roman"/>
        <family val="1"/>
        <charset val="204"/>
      </rPr>
      <t>Херсонському шосе</t>
    </r>
    <r>
      <rPr>
        <sz val="12"/>
        <rFont val="Times New Roman"/>
        <family val="1"/>
        <charset val="204"/>
      </rPr>
      <t xml:space="preserve"> у м.Миколаєві (виготовлення ПКД та проведення експертизи- 2шт.)</t>
    </r>
  </si>
  <si>
    <t>ТОВ "Ласкадо"</t>
  </si>
  <si>
    <r>
      <t xml:space="preserve">Капітальний ремонт зупинки громадського транспорту за адресою пр.Богоявленський навпроти концерт-холу </t>
    </r>
    <r>
      <rPr>
        <b/>
        <sz val="12"/>
        <rFont val="Times New Roman"/>
        <family val="1"/>
        <charset val="204"/>
      </rPr>
      <t>"Юність"</t>
    </r>
    <r>
      <rPr>
        <sz val="12"/>
        <rFont val="Times New Roman"/>
        <family val="1"/>
        <charset val="204"/>
      </rPr>
      <t xml:space="preserve"> у м.Миколаєві (ПКД -2017року)</t>
    </r>
  </si>
  <si>
    <t>ТОВ "НІКБІЛД", ФОП Буряченко</t>
  </si>
  <si>
    <t xml:space="preserve">Громадський бюджет </t>
  </si>
  <si>
    <t>Спортивний майданчик "Здорове майбутнє"</t>
  </si>
  <si>
    <t>ФОП Нікітін, ФОП Григоренко</t>
  </si>
  <si>
    <t>ПП "Будівельна фірма "Миколаївоблавтодор"</t>
  </si>
  <si>
    <t xml:space="preserve">Капітальний ремонт асфальтобетонного покриття внутрішньоквартального проїзду </t>
  </si>
  <si>
    <r>
      <t xml:space="preserve">Капітальний ремонт асфальтобетонного покриття внутрішньоквартального проїзду по </t>
    </r>
    <r>
      <rPr>
        <b/>
        <sz val="12"/>
        <rFont val="Times New Roman"/>
        <family val="1"/>
        <charset val="204"/>
      </rPr>
      <t xml:space="preserve"> пров.Південний, 30,32,32а</t>
    </r>
    <r>
      <rPr>
        <sz val="12"/>
        <rFont val="Times New Roman"/>
        <family val="1"/>
        <charset val="204"/>
      </rPr>
      <t xml:space="preserve"> в Інгульському районі м.Миколаєва</t>
    </r>
  </si>
  <si>
    <r>
      <t xml:space="preserve">Капітальний ремонт асфальтобетонного покриття внутрішньоквартальних проїздів по </t>
    </r>
    <r>
      <rPr>
        <b/>
        <sz val="12"/>
        <rFont val="Times New Roman"/>
        <family val="1"/>
        <charset val="204"/>
      </rPr>
      <t xml:space="preserve"> вул.Космонавтів, 75,77,79</t>
    </r>
    <r>
      <rPr>
        <sz val="12"/>
        <rFont val="Times New Roman"/>
        <family val="1"/>
        <charset val="204"/>
      </rPr>
      <t xml:space="preserve"> в Інгульському районі м.Миколаєва</t>
    </r>
  </si>
  <si>
    <r>
      <t xml:space="preserve">Капітальний ремонт асфальтобетонного покриття внутрішньоквартальних проїздів по </t>
    </r>
    <r>
      <rPr>
        <b/>
        <sz val="12"/>
        <rFont val="Times New Roman"/>
        <family val="1"/>
        <charset val="204"/>
      </rPr>
      <t xml:space="preserve"> вул.Генерала Свиридова, 7/1</t>
    </r>
    <r>
      <rPr>
        <sz val="12"/>
        <rFont val="Times New Roman"/>
        <family val="1"/>
        <charset val="204"/>
      </rPr>
      <t xml:space="preserve"> в Інгульському районі м.Миколаєва</t>
    </r>
  </si>
  <si>
    <r>
      <t xml:space="preserve">Капітальний ремонт асфальтобетонного покриття внутрішньоквартальних проїздів по </t>
    </r>
    <r>
      <rPr>
        <b/>
        <sz val="12"/>
        <rFont val="Times New Roman"/>
        <family val="1"/>
        <charset val="204"/>
      </rPr>
      <t xml:space="preserve"> вул.Молодогвардійська,30,32,36, пр.Богоявленський, 45</t>
    </r>
    <r>
      <rPr>
        <sz val="12"/>
        <rFont val="Times New Roman"/>
        <family val="1"/>
        <charset val="204"/>
      </rPr>
      <t xml:space="preserve"> в Інгульському районі м.Миколаєва</t>
    </r>
  </si>
  <si>
    <r>
      <t xml:space="preserve">Капітальний ремонт асфальтобетонного покриття внутрішньоквартальних проїздів по </t>
    </r>
    <r>
      <rPr>
        <b/>
        <sz val="12"/>
        <rFont val="Times New Roman"/>
        <family val="1"/>
        <charset val="204"/>
      </rPr>
      <t>вул.Театральна,27,29а,31,33,35а, вул.Чайковського, 22, пр.Богоявленський, 41</t>
    </r>
    <r>
      <rPr>
        <sz val="12"/>
        <rFont val="Times New Roman"/>
        <family val="1"/>
        <charset val="204"/>
      </rPr>
      <t xml:space="preserve"> в Інгульському районі м.Миколаєва</t>
    </r>
  </si>
  <si>
    <r>
      <t xml:space="preserve">Капітальний ремонт асфальтобетогнного покриття внутрішньоквартального проїзду по </t>
    </r>
    <r>
      <rPr>
        <b/>
        <sz val="12"/>
        <rFont val="Times New Roman"/>
        <family val="1"/>
        <charset val="204"/>
      </rPr>
      <t xml:space="preserve">пров. Полярний,2а, 2б,2в, вул.Молодогвардійська,26а </t>
    </r>
    <r>
      <rPr>
        <sz val="12"/>
        <rFont val="Times New Roman"/>
        <family val="1"/>
        <charset val="204"/>
      </rPr>
      <t xml:space="preserve"> в Інгульському районі м.Миколаєва</t>
    </r>
  </si>
  <si>
    <r>
      <t xml:space="preserve">Капітальний ремонт асфальтобетонного покриття внутрішньоквартального проїзду по </t>
    </r>
    <r>
      <rPr>
        <b/>
        <sz val="12"/>
        <rFont val="Times New Roman"/>
        <family val="1"/>
        <charset val="204"/>
      </rPr>
      <t>пр.Богоявленський, 29,31,33</t>
    </r>
    <r>
      <rPr>
        <sz val="12"/>
        <rFont val="Times New Roman"/>
        <family val="1"/>
        <charset val="204"/>
      </rPr>
      <t xml:space="preserve"> в Інгульському районі м.Миколаєва</t>
    </r>
  </si>
  <si>
    <r>
      <t xml:space="preserve">Капітальний ремонт асфальтобетонного покриття внутрішньоквартального проїзду по </t>
    </r>
    <r>
      <rPr>
        <b/>
        <sz val="12"/>
        <rFont val="Times New Roman"/>
        <family val="1"/>
        <charset val="204"/>
      </rPr>
      <t>вул.Авангардна, 49,51</t>
    </r>
    <r>
      <rPr>
        <sz val="12"/>
        <rFont val="Times New Roman"/>
        <family val="1"/>
        <charset val="204"/>
      </rPr>
      <t xml:space="preserve"> в Інгульському районі м.Миколаєва</t>
    </r>
  </si>
  <si>
    <r>
      <t xml:space="preserve">Капітальний ремонт асфальтобетонного покриття внутрішньоквартального проїзду по </t>
    </r>
    <r>
      <rPr>
        <b/>
        <sz val="12"/>
        <rFont val="Times New Roman"/>
        <family val="1"/>
        <charset val="204"/>
      </rPr>
      <t xml:space="preserve">вул.Будівельників,18б </t>
    </r>
    <r>
      <rPr>
        <sz val="12"/>
        <rFont val="Times New Roman"/>
        <family val="1"/>
        <charset val="204"/>
      </rPr>
      <t xml:space="preserve">у м.Миколаєві </t>
    </r>
  </si>
  <si>
    <r>
      <t xml:space="preserve">Капітальний ремонт асфальтобетонного покриття внутрішньоквартального проїзду по </t>
    </r>
    <r>
      <rPr>
        <b/>
        <sz val="12"/>
        <rFont val="Times New Roman"/>
        <family val="1"/>
        <charset val="204"/>
      </rPr>
      <t xml:space="preserve">вул.Театральна, 51/1 </t>
    </r>
    <r>
      <rPr>
        <sz val="12"/>
        <rFont val="Times New Roman"/>
        <family val="1"/>
        <charset val="204"/>
      </rPr>
      <t xml:space="preserve">у м.Миколаєві </t>
    </r>
  </si>
  <si>
    <t>ТОВ "Нікбілд"</t>
  </si>
  <si>
    <t>Капітальний ремонт спортивних,дитячих майданчиків у дворах, а також у межах мікрорайонів</t>
  </si>
  <si>
    <t>"Скейт - парк" на Херсонському шосе</t>
  </si>
  <si>
    <t>ФОП Григоренко</t>
  </si>
  <si>
    <t>Виготовлення проектно-кошторисної документації та проведення експертизи "Капітальний ремонт спортивно-ігрового майданчику по Херсонському шосе, між будинками 30,32,38 в Інгульському районі м.Миколаєва</t>
  </si>
  <si>
    <t>Адміністрація Інгульського району Миколаївської міської ради</t>
  </si>
  <si>
    <t>разом</t>
  </si>
  <si>
    <t>Плата за видачу сертифіката, який видається у разі прийняття в експлуатацію закінченого будівництвом об'єкта</t>
  </si>
  <si>
    <t>ТОВ Експертиза ЗО</t>
  </si>
  <si>
    <t>експертиза ПКД</t>
  </si>
  <si>
    <t xml:space="preserve">Капітальний ремонт дороги приватного сектору по вулиці Второта від житлового будинку №112 до житлового будинку №90 у Центральному районі міста Миколаєва </t>
  </si>
  <si>
    <t>Капітальний ремонт дороги приватного сектору по вулиці 5-а Воєнна від вулиці Столярна до вулиці Купорна у Центральному районі міста Миколаєва</t>
  </si>
  <si>
    <t>Капітальний ремонт</t>
  </si>
  <si>
    <t>технагляд</t>
  </si>
  <si>
    <t>авторський нагляд</t>
  </si>
  <si>
    <t>проектно-кошторисна документація</t>
  </si>
  <si>
    <t>Капітальний ремонт дороги приватного сектору по вулиці Інгульській від вулиці Архітектора Старова до житлового будинку № 26 у Центральному районі місті Миколаєва</t>
  </si>
  <si>
    <t>Капітальний ремонт дорожнього покриття по вул. Чижова від буд. № 12 до вул. Плевненська у приватному секторі Центрального району м. Миколаєва</t>
  </si>
  <si>
    <t>ФОП Литвиненко А. О.</t>
  </si>
  <si>
    <t>ФОП Царюк Світлана Володимирівна</t>
  </si>
  <si>
    <t>«Капітальний ремонт дорожнього покриття по   вул. 1-а Госпітальна від вул. 8-а Воєнна до вул. Колесникова та по  вул. Колесникова від вул. 1-а Госпітальна до вул. Безіменна  у приватному секторі  Центрального  району м. Миколаєва»</t>
  </si>
  <si>
    <t>ФОП Симонян С.А.</t>
  </si>
  <si>
    <t>ФОП Царюк С. В.</t>
  </si>
  <si>
    <t>”Капітальний ремонт дороги приватного сектору по вул.Ходченка від будинку №38 до ДНЗ № 92 у Центральному районі м. Миколаєв</t>
  </si>
  <si>
    <t>ФОП Дейнеко І. В.</t>
  </si>
  <si>
    <t>ТОВ Дориндустрия</t>
  </si>
  <si>
    <r>
      <t xml:space="preserve">Капітальний ремонт дороги приватного сектору по </t>
    </r>
    <r>
      <rPr>
        <sz val="12"/>
        <color indexed="8"/>
        <rFont val="Times New Roman"/>
        <family val="1"/>
        <charset val="204"/>
      </rPr>
      <t>вул. 1 Піщана від буд. № 76 до буд. № 104 у Центральному районі м. Миколаєва</t>
    </r>
  </si>
  <si>
    <t>ФОП Симонян А. А.</t>
  </si>
  <si>
    <t>ФОП Дейнеко І.В.</t>
  </si>
  <si>
    <r>
      <t xml:space="preserve">Капітальний ремонт дороги приватного сектору по </t>
    </r>
    <r>
      <rPr>
        <sz val="12"/>
        <color indexed="8"/>
        <rFont val="Times New Roman"/>
        <family val="1"/>
        <charset val="204"/>
      </rPr>
      <t>вул. 2 Піщана від буд. № 24 до буд. № 42 у Центральному районі м. Миколаєва</t>
    </r>
  </si>
  <si>
    <r>
      <t>Капітальний ремонт дороги приватного сектору по</t>
    </r>
    <r>
      <rPr>
        <sz val="12"/>
        <color indexed="8"/>
        <rFont val="Times New Roman"/>
        <family val="1"/>
        <charset val="204"/>
      </rPr>
      <t xml:space="preserve"> вул. Софіївська від буд. № 77 до буд. № 117 у Центральному районі м. Миколаєва</t>
    </r>
  </si>
  <si>
    <t>ФОП Симонян А.А.</t>
  </si>
  <si>
    <r>
      <t xml:space="preserve">Капітальний ремонт дорожнього покриття приватного сектору </t>
    </r>
    <r>
      <rPr>
        <sz val="12"/>
        <color indexed="8"/>
        <rFont val="Times New Roman"/>
        <family val="1"/>
        <charset val="204"/>
      </rPr>
      <t>по пров. Ентузіастів у Центральному районі м. Миколаєва</t>
    </r>
  </si>
  <si>
    <t>ФОП Симонян С. А.</t>
  </si>
  <si>
    <t>Капітальний ремонт дороги приватного сектору по проїзду Інгульському у Центральному районі м. Миколаєва</t>
  </si>
  <si>
    <t>ТОВ Билдфорт</t>
  </si>
  <si>
    <t>ФОП Григоренко Д. С.</t>
  </si>
  <si>
    <t xml:space="preserve">Капітальний ремонт благоустрою скверу "Молодіжний" по вул. Променева у Центральному районі м. Миколаєва» </t>
  </si>
  <si>
    <t>Громадський бюджет</t>
  </si>
  <si>
    <t>ТОВ Агрофон-проект</t>
  </si>
  <si>
    <t>Капітальний ремонт зупинки громадського транспорту "Вулиця Адміральська" по вулиці Пушкінській (непарна сторона) у Центральному районі місті Миколаєва</t>
  </si>
  <si>
    <t>Капітальний ремонт зупинки громадського транспорту "Вулиця Адміральська" по вулиці Пушкінській (парна сторона) у Центральному районі місті Миколаєва</t>
  </si>
  <si>
    <t>ПП Тігерон</t>
  </si>
  <si>
    <t>завершення робіт розпочатих у 2019 році «Капітальний ремонт зупинки громадського транспорту по вул. Потьомкінська ріг вул. 3-я Слобідська у Центральному районі м. Миколаєва»</t>
  </si>
  <si>
    <t>ТОВ ОПТСТРОЙБУД</t>
  </si>
  <si>
    <t>ТОВ Агрофон проект</t>
  </si>
  <si>
    <t xml:space="preserve">«Капітальний ремонт зупинки громадського транспорту "Вулиця 6-та Слобідська" по проспекту Центральному (парна сторона) у Центральному районі міста Миколаєва» </t>
  </si>
  <si>
    <t>капітальний ремонт ЗГТ</t>
  </si>
  <si>
    <t>Разом</t>
  </si>
  <si>
    <t xml:space="preserve"> ”Капітальний ремонт кутка відпочинку по проспекту Центральному ріг вулиці Інженерної у Центральному районі м. Миколаєва” </t>
  </si>
  <si>
    <t xml:space="preserve">Збереження та утримання на належному рівні зеленої зони населеного пункту та поліпшення його екологічних умов </t>
  </si>
  <si>
    <t>ТОВ Светолюкс Єлектромонтаж</t>
  </si>
  <si>
    <t>Капітальний ремонт мереж зовнішнього освітлення по провулкам: Ікарівський, Гастелло, Зозулі та вулицям: Павла Ходченка, Полярна від вул. Північної у Центральному районі м. Миколаєва (розробка ПКД)</t>
  </si>
  <si>
    <t>Забезпеченя функціонування мереж зовнішнього освітлення</t>
  </si>
  <si>
    <t xml:space="preserve"> «Капітальний ремонт скейт-майданчику "Drive" по вул. 116 Дивізії у Центральному районі м. Миколаєва» </t>
  </si>
  <si>
    <t>колодязьна5а, пр.Центральни15а</t>
  </si>
  <si>
    <t>ПП будівельна компанія ЛОЯ</t>
  </si>
  <si>
    <t>ФОП Дайнеко</t>
  </si>
  <si>
    <t>ФОП Ваховський Максим Олегович</t>
  </si>
  <si>
    <t xml:space="preserve">«Капітальний ремонт дитячого майданчика по пр. Центральний поблизу буд. №152 у Центральному районі м. Миколаєва» </t>
  </si>
  <si>
    <t>ФОП Ваховський М. О.</t>
  </si>
  <si>
    <t xml:space="preserve">«Капітальний ремонт дитячого майданчика по вул. Колодязна поблизу буд. №7 у Центральному районі м. Миколаєва» </t>
  </si>
  <si>
    <t xml:space="preserve"> «Капітальний ремонт дитячого майданчика по пр. Центральний поблизу буд. №158 у Центральному районі м. Миколаєва» </t>
  </si>
  <si>
    <t xml:space="preserve"> «Капітальний ремонт спортивного майданчика по вул. Колодязна поблизу буд. №37 у Центральному районі м. Миколаєва» </t>
  </si>
  <si>
    <t xml:space="preserve">«Капітальний ремонт спортивного майданчика по вул. Колодязна поблизу буд. №3 у Центральному районі м. Миколаєва» </t>
  </si>
  <si>
    <t xml:space="preserve">«Капітальний ремонт дитячого майданчика по вул. Колодязна поблизу буд. №35А у Центральному районі м. Миколаєва» </t>
  </si>
  <si>
    <t>ПП"Нікдор-ПЛЮС"</t>
  </si>
  <si>
    <t xml:space="preserve">”Капітальний ремонт спортивного майданчика за адресою вул. Дачна (мкр. Тернівка) у Центральному районі м. Миколаєва” </t>
  </si>
  <si>
    <t>Улаштування спортивних, дитячих майданчиків у дворах, а також у межах мікрорайонів</t>
  </si>
  <si>
    <t xml:space="preserve">Капітальний ремонт дорожнього покриття внутрішньоквартального проїзду вздовж будинків № 19, 21 по вул.Адміральська у Центральному районі міста Миколаєва. </t>
  </si>
  <si>
    <t>Капітальний ремонт тротуару та прибудинкової території вздовж будинку № 20 В по проспекту Героїв України у Центральному районі міста Миколаєва</t>
  </si>
  <si>
    <t>ФОП Симонян Сергій Артаваздови</t>
  </si>
  <si>
    <t>ФОП Дейнеко І.В</t>
  </si>
  <si>
    <t>Капітальний ремонт асфальтового покриття прибудинкової території та внутрішньоквартального проїзду вздовж будинку №37 та прибудинкової території будинку №35А по вул. Колодязна у Центральному районі м. Миколаєва</t>
  </si>
  <si>
    <t>«Капітальний ремонт прибудинкової території біля будинків №№ 15Б, 15В по провулку Парусному у Центральному районі міста Миколаєва» (от переулка парусного к д/с 52 и младшей школе 51)</t>
  </si>
  <si>
    <t xml:space="preserve"> «Капітальний ремонт дорожнього покриття прибудинкової території та внутрішньоквартального проїзду біля будинку №47 по вул. Севастопольська у Центральному районі м. Миколаєва» </t>
  </si>
  <si>
    <t xml:space="preserve">«Капітальний ремонт дорожнього покриття прибудинкової території та внутрішньоквартального проїзду біля будинків № 11-13 по вул. Садова та будинку №49 по вул. Севастопольська у Центральному районі м. Миколаєва» </t>
  </si>
  <si>
    <t>ФОП Дейнеко Олена Сергіївна</t>
  </si>
  <si>
    <t xml:space="preserve"> «Капітальний ремонт дорожнього покриття прибудинкової території та внутрішньоквартального проїзду біля будинку №18 по вул. Колодязна у Центральному районі м. Миколаєва»</t>
  </si>
  <si>
    <t>Дейнеко О.С.</t>
  </si>
  <si>
    <t xml:space="preserve"> «Капітальний ремонт дорожнього покриття прибудинкової території та внутрішньоквартального проїзду біля будинку №20 по вул. Колодязна у Центральному районі м. Миколаєва»</t>
  </si>
  <si>
    <t xml:space="preserve">Капітальний ремонт дорожнього покриття внутрішньоквартального проїзду вздовж будинку № 5 по вул. Потьомкінська у Центральному районі м. Миколаєва» </t>
  </si>
  <si>
    <t>екпертиза ПКД</t>
  </si>
  <si>
    <t>Капітальний ремонт дорожнього покриття внутрішньоквартального проїзду вздовж будинку № 94 по проспекту Центральному та будинку №17 по вул. Інженерна у Центральному районі м. Миколаєва</t>
  </si>
  <si>
    <t>Проведення робіт по відновленню асфальтового покриття прибудинкових територій та внутрішньоквартальних проїздів</t>
  </si>
  <si>
    <t>Адміністрація Центрального району Миколаївської міської ради</t>
  </si>
  <si>
    <t>ФОП Ваховський М.О. (проект)</t>
  </si>
  <si>
    <t>Капітальний ремонт дорожнього покриття</t>
  </si>
  <si>
    <t>Капітальний ремонт дорожнього покриття приватного сектору по вул. Тернопільській від вул. Лесі Українки до вул. Пшеницина у Корабельному районі м. Миколаєва  (розробка ПКД)</t>
  </si>
  <si>
    <t xml:space="preserve"> вул. Тернопільська від вул. Лесі Українки до вул. Пшеницина</t>
  </si>
  <si>
    <t>ФОП Дейнеко О.С.</t>
  </si>
  <si>
    <t>Капітальний ремонт дорожнього покриття по вул. Гетьмана Сагайдачного від вул. Краєзнавців до вул. Андреєва  (розробка ПКД)</t>
  </si>
  <si>
    <t>Капітальний ремонт дорожнього покриття по вулиці Генерала Шепетова від пр. Богоявленського до житлового будинку № 60  (розробка ПКД)</t>
  </si>
  <si>
    <t xml:space="preserve">вул. Генерала Шепетова від пр. Богоявленського до житлового будинку № 60 </t>
  </si>
  <si>
    <t>ФОП Басиста Т.А.</t>
  </si>
  <si>
    <t xml:space="preserve">Капітальний ремонт дорожнього покриття приватного сектору по пров. Марії Рибальченко від вул. Кобзарської до № 2 </t>
  </si>
  <si>
    <t xml:space="preserve">пров. Марії Рибальченко від вул. Кобзарської до № 2 </t>
  </si>
  <si>
    <t>ФОП Гончаренко А.А.</t>
  </si>
  <si>
    <t xml:space="preserve">Капітальний ремонт дорожнього покриття по вул. Адмірала Ушакова від вул. Кобзарська до житлового будинку № 8А </t>
  </si>
  <si>
    <t xml:space="preserve">вул. Адмірала Ушакова від вул. Кобзарська до житлового будинку № 8А </t>
  </si>
  <si>
    <t>ТОВ "Кайсер"</t>
  </si>
  <si>
    <t>Капітальний ремонт дорожнього покриття по вул. Ударна (ІІ черга)</t>
  </si>
  <si>
    <t>вул. Ударна</t>
  </si>
  <si>
    <t>ФОП Гурко</t>
  </si>
  <si>
    <t>Капітальний ремонт дорожнього покриття по вул. Космонавта Волкова (І черга)</t>
  </si>
  <si>
    <t>вул. Космонавта Волкова</t>
  </si>
  <si>
    <t>Капітальний ремонт дорожнього покриття по вул. Волгоградська (ІІ черга)</t>
  </si>
  <si>
    <t>вул. Волгоградська</t>
  </si>
  <si>
    <t>ФОП Гурко А.М.</t>
  </si>
  <si>
    <t>Капітальний ремонт дорожнього покриття по пров. Колективний (І черга)</t>
  </si>
  <si>
    <t xml:space="preserve"> пров. Колективний</t>
  </si>
  <si>
    <t>Капітальний ремонт дорожнього покриття по пров. 1-й Прибузький</t>
  </si>
  <si>
    <t>пров. 1-й Прибузький</t>
  </si>
  <si>
    <t>ТОВ "ГИНГАРС"</t>
  </si>
  <si>
    <t>Благоустрій зеленої зони</t>
  </si>
  <si>
    <r>
      <t xml:space="preserve">Капітальний ремонт та благоустрій зеленої зони на території парку "Богоявленський" біля джерела у Корабельному районі м. Миколаєва </t>
    </r>
    <r>
      <rPr>
        <b/>
        <sz val="12"/>
        <color indexed="8"/>
        <rFont val="Times New Roman"/>
        <family val="1"/>
        <charset val="204"/>
      </rPr>
      <t>(громадський бюджет)</t>
    </r>
  </si>
  <si>
    <t>територія парку "Богоявленський"</t>
  </si>
  <si>
    <t>Капітальний ремонт дренажних споруд</t>
  </si>
  <si>
    <t>Капітальний ремонт дренажних споруд по вул. Національної гвардії (розробка ПКД)</t>
  </si>
  <si>
    <t>вул. Національної гвардії</t>
  </si>
  <si>
    <t>ТОВ "ПІБК"</t>
  </si>
  <si>
    <t>Капітальний ремонт зупинок громадського транспорту</t>
  </si>
  <si>
    <t xml:space="preserve">Капітальний ремонт зупинок громадського транспорту по обох боків пр. Богоявленського в районі Вірменської Апостольської Церкви "Сурб Геворг" </t>
  </si>
  <si>
    <t xml:space="preserve">пр. Богоявленського в районі Вірменської Апостольської Церкви "Сурб Геворг" </t>
  </si>
  <si>
    <t>ФОП Бучко</t>
  </si>
  <si>
    <t>Капітальний ремонт тротуарів</t>
  </si>
  <si>
    <r>
      <t xml:space="preserve"> Капітальний ремонт тротуарної частини з елементами благоустрою по вул. Райдужній від будинку культури до будинку № 63 </t>
    </r>
    <r>
      <rPr>
        <b/>
        <sz val="12"/>
        <color indexed="8"/>
        <rFont val="Times New Roman"/>
        <family val="1"/>
        <charset val="204"/>
      </rPr>
      <t>(громадський бюджет)</t>
    </r>
  </si>
  <si>
    <t>вул. Райдужній від будинку культури до будинку № 63</t>
  </si>
  <si>
    <t>ФОП Курляк Олена Володимирівна</t>
  </si>
  <si>
    <t xml:space="preserve">Капітальний ремонт тротуарної частини по пр. Богоявленському від вул. Новобудівної до вул. О. Вишні (парна сторона) </t>
  </si>
  <si>
    <t xml:space="preserve"> </t>
  </si>
  <si>
    <t xml:space="preserve">Капітальний ремонт тротуару по вул. Океанівська, 36 з благоустроєм зеленої зони </t>
  </si>
  <si>
    <t>ФОП Озейчук С.М.</t>
  </si>
  <si>
    <t>Капітальний ремонт тротуарів по пр. Корабелів, 12, 16а, 18а (район гаражів) з благоустроєм</t>
  </si>
  <si>
    <t>пр. Корабелів, 12, 16а, 18а</t>
  </si>
  <si>
    <t>ФОП Стеценко О.М.</t>
  </si>
  <si>
    <t xml:space="preserve">Капітальний ремонт покриття тротуарів вздовж будинків № 48, 50, 52 по вул. Океанівська </t>
  </si>
  <si>
    <t>вул. Океанівська, 48, 50, 52</t>
  </si>
  <si>
    <t>Капітальний ремонт тротуарної частини по вул. Рибній від вул. О. Вишні вздовж дитячого садка № 110 та ЗОШ № 43</t>
  </si>
  <si>
    <t>вул. Рибна від вул. О. Вишні вздовж дитячого садка № 110 та ЗОШ № 43</t>
  </si>
  <si>
    <t xml:space="preserve">Капітальний ремонт тротуару по пр. Богоявленському від пр. Корабелів до вул. Океанівська (непарна сторона) </t>
  </si>
  <si>
    <t>пр. Богоявленський від пр. Корабелів до вул. Океанівська (непарна сторона)</t>
  </si>
  <si>
    <t>Капітальний ремонт мереж зовнішнього освітлення по вул. 3, 4, 5, 6 Козацькі, вул. Богоявленська</t>
  </si>
  <si>
    <t>вул. Козацька, 3, 4, 5, 6</t>
  </si>
  <si>
    <t>ТОВ "МАКРОМИР-ПРОЕКТ" (проект)</t>
  </si>
  <si>
    <t>Капітальний ремонт внутрішньоквартальних проїздів</t>
  </si>
  <si>
    <t>Капітальний ремонт внутрішньоквартальних проїздів вздовж будинків № 4/1 та № 79-а по вул. Тернопільській</t>
  </si>
  <si>
    <t>вул. Тернопільська, №4/1 та №79</t>
  </si>
  <si>
    <t>Капітальний ремонт внутрішньоквартального проїзду по вул. Янтарна, 67 (розробка ПКД)</t>
  </si>
  <si>
    <t>вул. Янтарна, 67</t>
  </si>
  <si>
    <t xml:space="preserve">Капітальний ремонт внутрішньоквартальних проїздів від пр. Корабелів вздовж будинку № 10-а до гімназії № 3 з тротуаром вздовж ЗОШ № 54 </t>
  </si>
  <si>
    <t>пр. Корабелів вздовж будинку № 10-а до гімназії № 3</t>
  </si>
  <si>
    <t>Капітальний ремонт внутрішньоквартальних проїздів по проспекту Богоявленському, 316, 318, 318/1, 322 у Корабельному районі м. Миколаєва. Коригування.</t>
  </si>
  <si>
    <t xml:space="preserve">пр. Богоявленський, 316, 318, 318/1, 322 </t>
  </si>
  <si>
    <t>Капітальний ремонт внутрішньоквартального проїзду по вул. 295 Стрілецької дивізії вздовж будинків № 91-а, 91-б, 91-в у Корабельному районі м. Миколаєва. Коригування.</t>
  </si>
  <si>
    <t xml:space="preserve"> вул. 295 Стрілецької дивізії вздовж будинків № 91-а, 91-б, 91-в </t>
  </si>
  <si>
    <t>ТОВ "УРБАН-КОНСТРАКТ" (проєкт)</t>
  </si>
  <si>
    <t>Капітальний ремонт спортивних майданчиків</t>
  </si>
  <si>
    <t>Капітальний ремонт спортивного майданчика на території містечка спорту "Корабельний" біля спорт-комплексу "Водолій"</t>
  </si>
  <si>
    <t>містечко спорту "Корабельний" біля спорт-комплексу "Водолій"</t>
  </si>
  <si>
    <r>
      <t xml:space="preserve">Капітальний ремонт дитячого спортивно-ігрового майданчику по вул. Генерала Попеля, 162 </t>
    </r>
    <r>
      <rPr>
        <b/>
        <sz val="12"/>
        <color indexed="8"/>
        <rFont val="Times New Roman"/>
        <family val="1"/>
        <charset val="204"/>
      </rPr>
      <t>(громадський бюджет)</t>
    </r>
  </si>
  <si>
    <t>вул. Генерала Попеля, 162</t>
  </si>
  <si>
    <t>ФОП Петрушков А.Є.</t>
  </si>
  <si>
    <t>Капітальний ремонт огорожі спортивного майданчика по вул. Океанівській, 34 у Корабельному районі м. Миколаєва</t>
  </si>
  <si>
    <t>вул. Океанівська, 34</t>
  </si>
  <si>
    <t>Адміністрація Корабельного району Миколаївської міської ради</t>
  </si>
  <si>
    <t>ВСЬОГО Нове будівництво</t>
  </si>
  <si>
    <t>КП"Дирекція з кап.буд.та реконструкцій "МОР (13861873)</t>
  </si>
  <si>
    <t>ТОВ "ВІК Технології"</t>
  </si>
  <si>
    <t xml:space="preserve">Нове будівництво  вуличної мережі каналізації  </t>
  </si>
  <si>
    <t>Нове будівництво  вуличної мережі каналізації  від будинку №155 по вул. 3 Слобідській до перехрестя з вул.Заводська у Заводському районі м.Миколаєва, у тому числі передпроектні, проектні роботи та експертиза</t>
  </si>
  <si>
    <t>від будинку №155 по вул. 3 Слобідській до перехрестя з вул.Заводська у Заводському районі м.Миколаєва, у тому числі передпроектні, проектні роботи та експертиза</t>
  </si>
  <si>
    <t>ТОВ "Вік Проект"</t>
  </si>
  <si>
    <t xml:space="preserve">Нове будівництво самополивної мережі каналізації </t>
  </si>
  <si>
    <t>Нове будівництво самополивної мережі каналізації по вул.Кузнецькій від вул.5 Слобідської до вул. 6 Слобідської у м.Миколаєві, у тому числі передпроектні, проектні роботи та експертиза.</t>
  </si>
  <si>
    <t>вул.Кузнецькій від вул.5 Слобідської до вул. 6 Слобідської у м.Миколаєві, у тому числі передпроектні, проектні роботи та експертиза.</t>
  </si>
  <si>
    <t>ВСЬОГО кап.ремонт дорожнього покриття</t>
  </si>
  <si>
    <t>ТОВ "Фортунабудінвест"</t>
  </si>
  <si>
    <t>ФОП Царюк С.В.</t>
  </si>
  <si>
    <t>ФОП Чудаков І.В.</t>
  </si>
  <si>
    <r>
      <t>Капітальний ремонт дорожнього покриття</t>
    </r>
    <r>
      <rPr>
        <b/>
        <sz val="12"/>
        <rFont val="Times New Roman"/>
        <family val="1"/>
        <charset val="204"/>
      </rPr>
      <t xml:space="preserve"> дороги </t>
    </r>
  </si>
  <si>
    <r>
      <t>Капітальний ремонт дорожнього покриття</t>
    </r>
    <r>
      <rPr>
        <b/>
        <sz val="12"/>
        <rFont val="Times New Roman"/>
        <family val="1"/>
        <charset val="204"/>
      </rPr>
      <t xml:space="preserve"> дороги по вул.Лєскова від вул.Даля до вул.Левадівська </t>
    </r>
    <r>
      <rPr>
        <sz val="12"/>
        <rFont val="Times New Roman"/>
        <family val="1"/>
        <charset val="204"/>
      </rPr>
      <t xml:space="preserve"> у приватному  секторі Заводського району м.Миколаєва</t>
    </r>
  </si>
  <si>
    <r>
      <rPr>
        <b/>
        <sz val="12"/>
        <rFont val="Times New Roman"/>
        <family val="1"/>
        <charset val="204"/>
      </rPr>
      <t xml:space="preserve">вул.Лєскова від вул.Даля до вул.Левадівська </t>
    </r>
    <r>
      <rPr>
        <sz val="12"/>
        <rFont val="Times New Roman"/>
        <family val="1"/>
        <charset val="204"/>
      </rPr>
      <t xml:space="preserve"> у приватному  секторі Заводського району м.Миколаєва</t>
    </r>
  </si>
  <si>
    <t>ФОП Ваховський М.О.</t>
  </si>
  <si>
    <t xml:space="preserve">Капітальний ремонт дороги </t>
  </si>
  <si>
    <r>
      <t xml:space="preserve">Капітальний ремонт дороги по </t>
    </r>
    <r>
      <rPr>
        <b/>
        <sz val="12"/>
        <rFont val="Times New Roman"/>
        <family val="1"/>
        <charset val="204"/>
      </rPr>
      <t xml:space="preserve">вул.Покровська від а/д Т-15-07 до будинку № 34 </t>
    </r>
    <r>
      <rPr>
        <sz val="12"/>
        <rFont val="Times New Roman"/>
        <family val="1"/>
        <charset val="204"/>
      </rPr>
      <t xml:space="preserve"> у приватному  секторі Заводського району м.Миколаєва</t>
    </r>
  </si>
  <si>
    <r>
      <rPr>
        <b/>
        <sz val="12"/>
        <rFont val="Times New Roman"/>
        <family val="1"/>
        <charset val="204"/>
      </rPr>
      <t xml:space="preserve">вул.Покровська від а/д Т-15-07 до будинку № 34 </t>
    </r>
    <r>
      <rPr>
        <sz val="12"/>
        <rFont val="Times New Roman"/>
        <family val="1"/>
        <charset val="204"/>
      </rPr>
      <t xml:space="preserve"> у приватному  секторі Заводського району м.Миколаєва</t>
    </r>
  </si>
  <si>
    <t>ПП "Будівельна фірма "Миколаївавтодор"</t>
  </si>
  <si>
    <r>
      <t xml:space="preserve">Капітальний ремонт дорожнього покриття по </t>
    </r>
    <r>
      <rPr>
        <b/>
        <sz val="12"/>
        <rFont val="Times New Roman"/>
        <family val="1"/>
        <charset val="204"/>
      </rPr>
      <t xml:space="preserve">пров.Курортний </t>
    </r>
    <r>
      <rPr>
        <sz val="12"/>
        <rFont val="Times New Roman"/>
        <family val="1"/>
        <charset val="204"/>
      </rPr>
      <t xml:space="preserve"> у приватному  секторі Заводського району м.Миколаєва</t>
    </r>
  </si>
  <si>
    <r>
      <rPr>
        <b/>
        <sz val="12"/>
        <rFont val="Times New Roman"/>
        <family val="1"/>
        <charset val="204"/>
      </rPr>
      <t xml:space="preserve">пров.Курортний </t>
    </r>
    <r>
      <rPr>
        <sz val="12"/>
        <rFont val="Times New Roman"/>
        <family val="1"/>
        <charset val="204"/>
      </rPr>
      <t xml:space="preserve"> у приватному  секторі Заводського району м.Миколаєва</t>
    </r>
  </si>
  <si>
    <r>
      <t>Капітальний ремонт дорожнього покриття</t>
    </r>
    <r>
      <rPr>
        <b/>
        <sz val="12"/>
        <rFont val="Times New Roman"/>
        <family val="1"/>
        <charset val="204"/>
      </rPr>
      <t xml:space="preserve"> </t>
    </r>
  </si>
  <si>
    <r>
      <t>Капітальний ремонт дорожнього покриття</t>
    </r>
    <r>
      <rPr>
        <b/>
        <sz val="12"/>
        <rFont val="Times New Roman"/>
        <family val="1"/>
        <charset val="204"/>
      </rPr>
      <t xml:space="preserve"> Старий інвалідий хутір </t>
    </r>
    <r>
      <rPr>
        <sz val="12"/>
        <rFont val="Times New Roman"/>
        <family val="1"/>
        <charset val="204"/>
      </rPr>
      <t xml:space="preserve"> у приватному  секторі Заводського району м.Миколаєва</t>
    </r>
  </si>
  <si>
    <r>
      <rPr>
        <b/>
        <sz val="12"/>
        <rFont val="Times New Roman"/>
        <family val="1"/>
        <charset val="204"/>
      </rPr>
      <t xml:space="preserve">Старий інвалідий хутір </t>
    </r>
    <r>
      <rPr>
        <sz val="12"/>
        <rFont val="Times New Roman"/>
        <family val="1"/>
        <charset val="204"/>
      </rPr>
      <t xml:space="preserve"> у приватному  секторі Заводського району м.Миколаєва</t>
    </r>
  </si>
  <si>
    <r>
      <t>Капітальний ремонт дорожнього покриття</t>
    </r>
    <r>
      <rPr>
        <b/>
        <sz val="12"/>
        <rFont val="Times New Roman"/>
        <family val="1"/>
        <charset val="204"/>
      </rPr>
      <t xml:space="preserve"> на Залізничному селищі від буд. №918 до буд. №782, від буд№792до буд.№775 від буд№946 до буд.760 </t>
    </r>
    <r>
      <rPr>
        <sz val="12"/>
        <rFont val="Times New Roman"/>
        <family val="1"/>
        <charset val="204"/>
      </rPr>
      <t xml:space="preserve"> у приватному  секторі Заводського району м.Миколаєва</t>
    </r>
  </si>
  <si>
    <r>
      <rPr>
        <b/>
        <sz val="12"/>
        <rFont val="Times New Roman"/>
        <family val="1"/>
        <charset val="204"/>
      </rPr>
      <t xml:space="preserve">на Залізничному селищі від буд. №918 до буд. №782, від буд№792до буд.№775 від буд№946 до буд.760 </t>
    </r>
    <r>
      <rPr>
        <sz val="12"/>
        <rFont val="Times New Roman"/>
        <family val="1"/>
        <charset val="204"/>
      </rPr>
      <t xml:space="preserve"> у приватному  секторі Заводського району м.Миколаєва</t>
    </r>
  </si>
  <si>
    <r>
      <t>Капітальний ремонт дорожнього покриття</t>
    </r>
    <r>
      <rPr>
        <b/>
        <sz val="12"/>
        <rFont val="Times New Roman"/>
        <family val="1"/>
        <charset val="204"/>
      </rPr>
      <t xml:space="preserve"> на Залізничному селищі від буд. №536 до буд. №521, від буд№520 до буд.№829 від буд№782 до буд.806 </t>
    </r>
    <r>
      <rPr>
        <sz val="12"/>
        <rFont val="Times New Roman"/>
        <family val="1"/>
        <charset val="204"/>
      </rPr>
      <t xml:space="preserve"> у приватному  секторі Заводського району м.Миколаєва</t>
    </r>
  </si>
  <si>
    <r>
      <rPr>
        <b/>
        <sz val="12"/>
        <rFont val="Times New Roman"/>
        <family val="1"/>
        <charset val="204"/>
      </rPr>
      <t xml:space="preserve">на Залізничному селищі від буд. №536 до буд. №521, від буд№520 до буд.№829 від буд№782 до буд.806 </t>
    </r>
    <r>
      <rPr>
        <sz val="12"/>
        <rFont val="Times New Roman"/>
        <family val="1"/>
        <charset val="204"/>
      </rPr>
      <t xml:space="preserve"> у приватному  секторі Заводського району м.Миколаєва</t>
    </r>
  </si>
  <si>
    <t>ВСЬОГО Громадський бюджет</t>
  </si>
  <si>
    <t>Громадський бюджет № 0085 "Облаштування зупинок для очікування автобусів на маршруті № 23"</t>
  </si>
  <si>
    <t>автобусів на маршруті № 23"</t>
  </si>
  <si>
    <t>ВСЬОГО Капітальний ремонт зеленої зони</t>
  </si>
  <si>
    <t>ТОВ "БЛАГОУСТРІЙ -НК"</t>
  </si>
  <si>
    <t xml:space="preserve"> "Капітальний ремонт зеленої зони</t>
  </si>
  <si>
    <t xml:space="preserve"> "Капітальний ремонт зеленої зони  біля будинку 42 по вул. Г.Карпенка у м. Миколаєві</t>
  </si>
  <si>
    <t>біля будинку 42 по вул. Г.Карпенка у м. Миколаєві</t>
  </si>
  <si>
    <t xml:space="preserve">ВСЬОГО Капітальний ремонт зупинки громадського транспорту </t>
  </si>
  <si>
    <t>ПП "Зодчій" №32720277</t>
  </si>
  <si>
    <t xml:space="preserve">Капітальний ремонт зупинки громадського транспорту </t>
  </si>
  <si>
    <r>
      <t xml:space="preserve">Капітальний ремонт зупинки громадського транспорту поблизу </t>
    </r>
    <r>
      <rPr>
        <b/>
        <sz val="12"/>
        <rFont val="Times New Roman"/>
        <family val="1"/>
        <charset val="204"/>
      </rPr>
      <t xml:space="preserve">буд.№39 по вул. Декабристів </t>
    </r>
    <r>
      <rPr>
        <sz val="12"/>
        <rFont val="Times New Roman"/>
        <family val="1"/>
        <charset val="204"/>
      </rPr>
      <t xml:space="preserve"> Заводському районі м.Миколаєва</t>
    </r>
  </si>
  <si>
    <r>
      <t xml:space="preserve">поблизу </t>
    </r>
    <r>
      <rPr>
        <b/>
        <sz val="12"/>
        <rFont val="Times New Roman"/>
        <family val="1"/>
        <charset val="204"/>
      </rPr>
      <t xml:space="preserve">буд.№39 по вул. Декабристів </t>
    </r>
    <r>
      <rPr>
        <sz val="12"/>
        <rFont val="Times New Roman"/>
        <family val="1"/>
        <charset val="204"/>
      </rPr>
      <t xml:space="preserve"> Заводському районі м.Миколаєва</t>
    </r>
  </si>
  <si>
    <t xml:space="preserve">ВСЬОГО Капітальний ремонт тротуару </t>
  </si>
  <si>
    <t xml:space="preserve">Капітальний ремонт тротуару </t>
  </si>
  <si>
    <r>
      <t xml:space="preserve">Капітальний ремонт тротуару по </t>
    </r>
    <r>
      <rPr>
        <b/>
        <sz val="12"/>
        <rFont val="Times New Roman"/>
        <family val="1"/>
        <charset val="204"/>
      </rPr>
      <t>вул.Громадянська від будинку № 85</t>
    </r>
    <r>
      <rPr>
        <sz val="12"/>
        <rFont val="Times New Roman"/>
        <family val="1"/>
        <charset val="204"/>
      </rPr>
      <t xml:space="preserve"> Заводського району м.Миколаєва</t>
    </r>
  </si>
  <si>
    <r>
      <rPr>
        <b/>
        <sz val="12"/>
        <rFont val="Times New Roman"/>
        <family val="1"/>
        <charset val="204"/>
      </rPr>
      <t>вул.Громадянська від будинку № 85</t>
    </r>
    <r>
      <rPr>
        <sz val="12"/>
        <rFont val="Times New Roman"/>
        <family val="1"/>
        <charset val="204"/>
      </rPr>
      <t xml:space="preserve"> Заводського району м.Миколаєва</t>
    </r>
  </si>
  <si>
    <t>ТОВ"Благоустрій-НК"</t>
  </si>
  <si>
    <r>
      <t xml:space="preserve">Капітальний ремонт тротуару по </t>
    </r>
    <r>
      <rPr>
        <b/>
        <sz val="12"/>
        <rFont val="Times New Roman"/>
        <family val="1"/>
        <charset val="204"/>
      </rPr>
      <t>вул. 1 Слобідська, 43 та по вул. Погранична, 96</t>
    </r>
    <r>
      <rPr>
        <sz val="12"/>
        <rFont val="Times New Roman"/>
        <family val="1"/>
        <charset val="204"/>
      </rPr>
      <t xml:space="preserve"> Заводського району м.Миколаєва</t>
    </r>
  </si>
  <si>
    <r>
      <t xml:space="preserve"> </t>
    </r>
    <r>
      <rPr>
        <b/>
        <sz val="12"/>
        <rFont val="Times New Roman"/>
        <family val="1"/>
        <charset val="204"/>
      </rPr>
      <t>вул. 1 Слобідська, 43 та по вул. Погранична, 96</t>
    </r>
    <r>
      <rPr>
        <sz val="12"/>
        <rFont val="Times New Roman"/>
        <family val="1"/>
        <charset val="204"/>
      </rPr>
      <t xml:space="preserve"> Заводського району м.Миколаєва</t>
    </r>
  </si>
  <si>
    <r>
      <t>Капітальний ремонт тротуару по вул.</t>
    </r>
    <r>
      <rPr>
        <b/>
        <sz val="12"/>
        <rFont val="Times New Roman"/>
        <family val="1"/>
        <charset val="204"/>
      </rPr>
      <t>Декабристів від вул.Погранична до пров Образцова (непарна сторона)</t>
    </r>
    <r>
      <rPr>
        <sz val="12"/>
        <rFont val="Times New Roman"/>
        <family val="1"/>
        <charset val="204"/>
      </rPr>
      <t xml:space="preserve"> Заводського району м.Миколаєва</t>
    </r>
  </si>
  <si>
    <r>
      <t>вул.</t>
    </r>
    <r>
      <rPr>
        <b/>
        <sz val="12"/>
        <rFont val="Times New Roman"/>
        <family val="1"/>
        <charset val="204"/>
      </rPr>
      <t>Декабристів від вул.Погранична до пров Образцова (непарна сторона)</t>
    </r>
    <r>
      <rPr>
        <sz val="12"/>
        <rFont val="Times New Roman"/>
        <family val="1"/>
        <charset val="204"/>
      </rPr>
      <t xml:space="preserve"> Заводського району м.Миколаєва</t>
    </r>
  </si>
  <si>
    <r>
      <t xml:space="preserve">Капітальний ремонт тротуару </t>
    </r>
    <r>
      <rPr>
        <b/>
        <sz val="12"/>
        <rFont val="Times New Roman"/>
        <family val="1"/>
        <charset val="204"/>
      </rPr>
      <t>біля буд.46 по вул.Громадянська та буд.50 по вул.Кузнецька</t>
    </r>
    <r>
      <rPr>
        <sz val="12"/>
        <rFont val="Times New Roman"/>
        <family val="1"/>
        <charset val="204"/>
      </rPr>
      <t xml:space="preserve"> Заводського району м.Миколаєва</t>
    </r>
  </si>
  <si>
    <t>біля буд.46 по вул.Громадянська та буд.50 по вул.Кузнецька Заводського району м.Миколаєва</t>
  </si>
  <si>
    <r>
      <t xml:space="preserve">Капітальний ремонт тротуару </t>
    </r>
    <r>
      <rPr>
        <b/>
        <sz val="12"/>
        <rFont val="Times New Roman"/>
        <family val="1"/>
        <charset val="204"/>
      </rPr>
      <t>вул.Сінна</t>
    </r>
    <r>
      <rPr>
        <sz val="12"/>
        <rFont val="Times New Roman"/>
        <family val="1"/>
        <charset val="204"/>
      </rPr>
      <t xml:space="preserve"> Заводського району м.Миколаєва</t>
    </r>
  </si>
  <si>
    <t>вул.Сінна Заводського району м.Миколаєва</t>
  </si>
  <si>
    <t>Капітальний ремонт тротуару по вул.Погранична 43А Заводського району м.Миколаєва</t>
  </si>
  <si>
    <t>вул.Погранична 43А Заводського району м.Миколаєва</t>
  </si>
  <si>
    <r>
      <t xml:space="preserve">Капітальний ремонт тротуару по </t>
    </r>
    <r>
      <rPr>
        <b/>
        <sz val="12"/>
        <rFont val="Times New Roman"/>
        <family val="1"/>
        <charset val="204"/>
      </rPr>
      <t>поблизу будинку по вул.Курортна,8Б вздовж ЗОШ № 6</t>
    </r>
    <r>
      <rPr>
        <sz val="12"/>
        <rFont val="Times New Roman"/>
        <family val="1"/>
        <charset val="204"/>
      </rPr>
      <t xml:space="preserve"> Заводського району м.Миколаєва</t>
    </r>
  </si>
  <si>
    <t>поблизу будинку по вул.Курортна,8Б вздовж ЗОШ № 6 Заводського району м.Миколаєва</t>
  </si>
  <si>
    <r>
      <t xml:space="preserve">Капітальний ремонт тротуару по </t>
    </r>
    <r>
      <rPr>
        <b/>
        <sz val="12"/>
        <rFont val="Times New Roman"/>
        <family val="1"/>
        <charset val="204"/>
      </rPr>
      <t xml:space="preserve">вул. 1 Слобідська від вул.Погранична до ЗОШ -інтернат №3 (парна сторона) </t>
    </r>
    <r>
      <rPr>
        <sz val="12"/>
        <rFont val="Times New Roman"/>
        <family val="1"/>
        <charset val="204"/>
      </rPr>
      <t>у приватному секторі Заводського району м.Миколаєва"</t>
    </r>
  </si>
  <si>
    <r>
      <rPr>
        <b/>
        <sz val="12"/>
        <rFont val="Times New Roman"/>
        <family val="1"/>
        <charset val="204"/>
      </rPr>
      <t xml:space="preserve">вул. 1 Слобідська від вул.Погранична до ЗОШ -інтернат №3 (парна сторона) </t>
    </r>
    <r>
      <rPr>
        <sz val="12"/>
        <rFont val="Times New Roman"/>
        <family val="1"/>
        <charset val="204"/>
      </rPr>
      <t>у приватному секторі Заводського району м.Миколаєва"</t>
    </r>
  </si>
  <si>
    <t>ТОВ "Фортунаінвестбуд"</t>
  </si>
  <si>
    <r>
      <t xml:space="preserve">Капітальний ремонт тротуару по </t>
    </r>
    <r>
      <rPr>
        <b/>
        <sz val="12"/>
        <rFont val="Times New Roman"/>
        <family val="1"/>
        <charset val="204"/>
      </rPr>
      <t>вул.Кузнецька  від пров. Суднобудівників до вул. Левадівська та від вул. Даля до вул. М.Морська (парна сторона)</t>
    </r>
    <r>
      <rPr>
        <sz val="12"/>
        <rFont val="Times New Roman"/>
        <family val="1"/>
        <charset val="204"/>
      </rPr>
      <t xml:space="preserve"> у приватному секторі Заводського району м.Миколаєва"</t>
    </r>
  </si>
  <si>
    <r>
      <rPr>
        <b/>
        <sz val="12"/>
        <rFont val="Times New Roman"/>
        <family val="1"/>
        <charset val="204"/>
      </rPr>
      <t>вул.Кузнецька  від пров. Суднобудівників до вул. Левадівська та від вул. Даля до вул. М.Морська (парна сторона)</t>
    </r>
    <r>
      <rPr>
        <sz val="12"/>
        <rFont val="Times New Roman"/>
        <family val="1"/>
        <charset val="204"/>
      </rPr>
      <t xml:space="preserve"> у приватному секторі Заводського району м.Миколаєва"</t>
    </r>
  </si>
  <si>
    <r>
      <t xml:space="preserve">Капітальний ремонт тротуару по </t>
    </r>
    <r>
      <rPr>
        <b/>
        <sz val="12"/>
        <rFont val="Times New Roman"/>
        <family val="1"/>
        <charset val="204"/>
      </rPr>
      <t>вул. М.Морська від будинку №78 до вул.Кузнецька</t>
    </r>
    <r>
      <rPr>
        <sz val="12"/>
        <rFont val="Times New Roman"/>
        <family val="1"/>
        <charset val="204"/>
      </rPr>
      <t xml:space="preserve"> у приватному секторі Заводського району м.Миколаєва"</t>
    </r>
  </si>
  <si>
    <r>
      <rPr>
        <b/>
        <sz val="12"/>
        <rFont val="Times New Roman"/>
        <family val="1"/>
        <charset val="204"/>
      </rPr>
      <t>вул. М.Морська від будинку №78 до вул.Кузнецька</t>
    </r>
    <r>
      <rPr>
        <sz val="12"/>
        <rFont val="Times New Roman"/>
        <family val="1"/>
        <charset val="204"/>
      </rPr>
      <t xml:space="preserve"> у приватному секторі Заводського району м.Миколаєва"</t>
    </r>
  </si>
  <si>
    <t>ФОП Озейчук С.М. (№2559106912)</t>
  </si>
  <si>
    <r>
      <t xml:space="preserve">Капітальний ремонт тротуару по </t>
    </r>
    <r>
      <rPr>
        <b/>
        <sz val="12"/>
        <rFont val="Times New Roman"/>
        <family val="1"/>
        <charset val="204"/>
      </rPr>
      <t>вул. 3-я Слобідська від вул.Кузнецька до вул.Заводська (непарна сторона)</t>
    </r>
    <r>
      <rPr>
        <sz val="12"/>
        <rFont val="Times New Roman"/>
        <family val="1"/>
        <charset val="204"/>
      </rPr>
      <t xml:space="preserve"> у приватному секторі Заводського району м.Миколаєва"</t>
    </r>
  </si>
  <si>
    <r>
      <rPr>
        <b/>
        <sz val="12"/>
        <rFont val="Times New Roman"/>
        <family val="1"/>
        <charset val="204"/>
      </rPr>
      <t>вул. 3-я Слобідська від вул.Кузнецька до вул.Заводська (непарна сторона)</t>
    </r>
    <r>
      <rPr>
        <sz val="12"/>
        <rFont val="Times New Roman"/>
        <family val="1"/>
        <charset val="204"/>
      </rPr>
      <t xml:space="preserve"> у приватному секторі Заводського району м.Миколаєва"</t>
    </r>
  </si>
  <si>
    <r>
      <t xml:space="preserve">Капітальний ремонт тротуару по </t>
    </r>
    <r>
      <rPr>
        <b/>
        <sz val="12"/>
        <rFont val="Times New Roman"/>
        <family val="1"/>
        <charset val="204"/>
      </rPr>
      <t>вул. Дмитрієва від вул.Мала Морська до вул.Богородична (парна сторона) та від вул.Богородична до вул.Даля (непарна сторона)</t>
    </r>
    <r>
      <rPr>
        <sz val="12"/>
        <rFont val="Times New Roman"/>
        <family val="1"/>
        <charset val="204"/>
      </rPr>
      <t xml:space="preserve"> у приватному секторі Заводського району м.Миколаєва"</t>
    </r>
  </si>
  <si>
    <r>
      <rPr>
        <b/>
        <sz val="12"/>
        <rFont val="Times New Roman"/>
        <family val="1"/>
        <charset val="204"/>
      </rPr>
      <t>вул. Дмитрієва від вул.Мала Морська до вул.Богородична (парна сторона) та від вул.Богородична до вул.Даля (непарна сторона)</t>
    </r>
    <r>
      <rPr>
        <sz val="12"/>
        <rFont val="Times New Roman"/>
        <family val="1"/>
        <charset val="204"/>
      </rPr>
      <t xml:space="preserve"> у приватному секторі Заводського району м.Миколаєва"</t>
    </r>
  </si>
  <si>
    <t>ВСЬОГО громадський бюджет</t>
  </si>
  <si>
    <t>ТОВ "Югбудстрой"</t>
  </si>
  <si>
    <t>Громадський бюджет. Капітальний ремонт спортивного майданчика</t>
  </si>
  <si>
    <t>Громадський бюджет № 0097 "Спортивний майданчик на вул. Терасній (покриття)" (вул.Терасна)</t>
  </si>
  <si>
    <t>вул.Терасна</t>
  </si>
  <si>
    <t>ПП БК "ЛОЯ"</t>
  </si>
  <si>
    <t xml:space="preserve">Громадський бюджет № 0006 "Спортивний майданчик для підлітків та дорослих "Спорт Тайм" (вул.Дунаєва,39)
</t>
  </si>
  <si>
    <t xml:space="preserve">вул.Дунаєва,39
</t>
  </si>
  <si>
    <t xml:space="preserve">ВСЬОГО Капітальний ремонт дитячо-спортивного майданчика </t>
  </si>
  <si>
    <t>ФОП Нікітін Д.Ю.</t>
  </si>
  <si>
    <t xml:space="preserve">Капітальний ремонт дитячо-спортивного майданчика </t>
  </si>
  <si>
    <r>
      <t xml:space="preserve">Капітальний ремонт дитячо-спортивного майданчика по </t>
    </r>
    <r>
      <rPr>
        <b/>
        <sz val="12"/>
        <rFont val="Times New Roman"/>
        <family val="1"/>
        <charset val="204"/>
      </rPr>
      <t>вул. Крилова 19-А</t>
    </r>
    <r>
      <rPr>
        <sz val="12"/>
        <rFont val="Times New Roman"/>
        <family val="1"/>
        <charset val="204"/>
      </rPr>
      <t xml:space="preserve"> в Заводському районі у м.Миколаєві</t>
    </r>
  </si>
  <si>
    <r>
      <t xml:space="preserve"> </t>
    </r>
    <r>
      <rPr>
        <b/>
        <sz val="12"/>
        <rFont val="Times New Roman"/>
        <family val="1"/>
        <charset val="204"/>
      </rPr>
      <t>вул. Крилова 19-А</t>
    </r>
    <r>
      <rPr>
        <sz val="12"/>
        <rFont val="Times New Roman"/>
        <family val="1"/>
        <charset val="204"/>
      </rPr>
      <t xml:space="preserve"> в Заводському районі у м.Миколаєві</t>
    </r>
  </si>
  <si>
    <t>ТОВ "ПриватБуд"</t>
  </si>
  <si>
    <r>
      <t xml:space="preserve">Капітальний ремонт спортивного майданчика </t>
    </r>
    <r>
      <rPr>
        <b/>
        <sz val="9"/>
        <rFont val="Times New Roman"/>
        <family val="1"/>
        <charset val="204"/>
      </rPr>
      <t/>
    </r>
  </si>
  <si>
    <r>
      <t xml:space="preserve">Капітальний ремонт спортивного майданчика </t>
    </r>
    <r>
      <rPr>
        <b/>
        <sz val="12"/>
        <rFont val="Times New Roman"/>
        <family val="1"/>
        <charset val="204"/>
      </rPr>
      <t>біля СДЮШОР № 4 (СК "Надія") по вул.Генерала Карпенка</t>
    </r>
    <r>
      <rPr>
        <sz val="12"/>
        <rFont val="Times New Roman"/>
        <family val="1"/>
        <charset val="204"/>
      </rPr>
      <t xml:space="preserve"> у Заводському районі у м.Миколаєві</t>
    </r>
  </si>
  <si>
    <r>
      <rPr>
        <b/>
        <sz val="12"/>
        <rFont val="Times New Roman"/>
        <family val="1"/>
        <charset val="204"/>
      </rPr>
      <t>біля СДЮШОР № 4 (СК "Надія") по вул.Генерала Карпенка</t>
    </r>
    <r>
      <rPr>
        <sz val="12"/>
        <rFont val="Times New Roman"/>
        <family val="1"/>
        <charset val="204"/>
      </rPr>
      <t xml:space="preserve"> у Заводському районі у м.Миколаєві</t>
    </r>
  </si>
  <si>
    <t xml:space="preserve">Капітальний ремонт дитячого майданчика </t>
  </si>
  <si>
    <r>
      <t xml:space="preserve">Капітальний ремонт дитячого майданчика по </t>
    </r>
    <r>
      <rPr>
        <b/>
        <sz val="12"/>
        <rFont val="Times New Roman"/>
        <family val="1"/>
        <charset val="204"/>
      </rPr>
      <t>вул. 2 Слобідська, 73,75</t>
    </r>
    <r>
      <rPr>
        <sz val="12"/>
        <rFont val="Times New Roman"/>
        <family val="1"/>
        <charset val="204"/>
      </rPr>
      <t xml:space="preserve"> в Заводському районі у м.Миколаєві</t>
    </r>
  </si>
  <si>
    <r>
      <rPr>
        <b/>
        <sz val="12"/>
        <rFont val="Times New Roman"/>
        <family val="1"/>
        <charset val="204"/>
      </rPr>
      <t>вул. 2 Слобідська, 75</t>
    </r>
    <r>
      <rPr>
        <sz val="12"/>
        <rFont val="Times New Roman"/>
        <family val="1"/>
        <charset val="204"/>
      </rPr>
      <t xml:space="preserve"> в Заводському районі у м.Миколаєві</t>
    </r>
  </si>
  <si>
    <t>ФОП Поліщук Г.І.</t>
  </si>
  <si>
    <t xml:space="preserve">Капітальний ремонт дитячого ігрового майданчика </t>
  </si>
  <si>
    <r>
      <t xml:space="preserve">Капітальний ремонт дитячого ігрового майданчика по </t>
    </r>
    <r>
      <rPr>
        <b/>
        <sz val="12"/>
        <rFont val="Times New Roman"/>
        <family val="1"/>
        <charset val="204"/>
      </rPr>
      <t>пр. Центральний  7</t>
    </r>
    <r>
      <rPr>
        <sz val="12"/>
        <rFont val="Times New Roman"/>
        <family val="1"/>
        <charset val="204"/>
      </rPr>
      <t xml:space="preserve">  в Заводському районі у м.Миколаєві</t>
    </r>
  </si>
  <si>
    <r>
      <rPr>
        <b/>
        <sz val="12"/>
        <rFont val="Times New Roman"/>
        <family val="1"/>
        <charset val="204"/>
      </rPr>
      <t>пр. Центральний  7</t>
    </r>
    <r>
      <rPr>
        <sz val="12"/>
        <rFont val="Times New Roman"/>
        <family val="1"/>
        <charset val="204"/>
      </rPr>
      <t xml:space="preserve">  в Заводському районі у м.Миколаєві</t>
    </r>
  </si>
  <si>
    <r>
      <t xml:space="preserve">Капітальний ремонт дитячого майданчика по </t>
    </r>
    <r>
      <rPr>
        <b/>
        <sz val="12"/>
        <rFont val="Times New Roman"/>
        <family val="1"/>
        <charset val="204"/>
      </rPr>
      <t>вул.3 Слобідська,107 корп. 2, 3, 4</t>
    </r>
    <r>
      <rPr>
        <sz val="12"/>
        <rFont val="Times New Roman"/>
        <family val="1"/>
        <charset val="204"/>
      </rPr>
      <t xml:space="preserve"> в Заводському районі у м.Миколаєві</t>
    </r>
  </si>
  <si>
    <r>
      <rPr>
        <b/>
        <sz val="12"/>
        <rFont val="Times New Roman"/>
        <family val="1"/>
        <charset val="204"/>
      </rPr>
      <t>вул.3 Слобідська,107 корп. 2, 3, 4</t>
    </r>
    <r>
      <rPr>
        <sz val="12"/>
        <rFont val="Times New Roman"/>
        <family val="1"/>
        <charset val="204"/>
      </rPr>
      <t xml:space="preserve"> в Заводському районі у м.Миколаєві</t>
    </r>
  </si>
  <si>
    <r>
      <t xml:space="preserve">Капітальний ремонт дитячого майданчика по </t>
    </r>
    <r>
      <rPr>
        <b/>
        <sz val="12"/>
        <rFont val="Times New Roman"/>
        <family val="1"/>
        <charset val="204"/>
      </rPr>
      <t>вул.4 Слобідська ріг вул. Кузнецька</t>
    </r>
    <r>
      <rPr>
        <sz val="12"/>
        <rFont val="Times New Roman"/>
        <family val="1"/>
        <charset val="204"/>
      </rPr>
      <t xml:space="preserve"> в Заводському районі у м.Миколаєві</t>
    </r>
  </si>
  <si>
    <r>
      <rPr>
        <b/>
        <sz val="12"/>
        <rFont val="Times New Roman"/>
        <family val="1"/>
        <charset val="204"/>
      </rPr>
      <t>вул.4 Слобідська ріг вул. Кузнецька</t>
    </r>
    <r>
      <rPr>
        <sz val="12"/>
        <rFont val="Times New Roman"/>
        <family val="1"/>
        <charset val="204"/>
      </rPr>
      <t xml:space="preserve"> в Заводському районі у м.Миколаєві</t>
    </r>
  </si>
  <si>
    <r>
      <t xml:space="preserve">Капітальний ремонт дитячого майданчика по </t>
    </r>
    <r>
      <rPr>
        <b/>
        <sz val="12"/>
        <rFont val="Times New Roman"/>
        <family val="1"/>
        <charset val="204"/>
      </rPr>
      <t>вул.Громадянська, 42,44</t>
    </r>
    <r>
      <rPr>
        <sz val="12"/>
        <rFont val="Times New Roman"/>
        <family val="1"/>
        <charset val="204"/>
      </rPr>
      <t xml:space="preserve"> в Заводському районі у м.Миколаєві</t>
    </r>
  </si>
  <si>
    <r>
      <rPr>
        <b/>
        <sz val="12"/>
        <rFont val="Times New Roman"/>
        <family val="1"/>
        <charset val="204"/>
      </rPr>
      <t>вул.Громадянська, 42,44</t>
    </r>
    <r>
      <rPr>
        <sz val="12"/>
        <rFont val="Times New Roman"/>
        <family val="1"/>
        <charset val="204"/>
      </rPr>
      <t xml:space="preserve"> в Заводському районі у м.Миколаєві</t>
    </r>
  </si>
  <si>
    <t>Всього Капітальний ремонт дорожнього покриття внутришньоквартальних проїздів</t>
  </si>
  <si>
    <t>Капітальний ремонт дорожнього покриття внутришньоквартальних проїздів</t>
  </si>
  <si>
    <t>Капітальний ремонт дорожнього покриття внутришньоквартальних проїздів по вул. 2 Слобідська, 75 у Заводському районі м.Миколаєва</t>
  </si>
  <si>
    <t>Капітальний ремонт дорожнього покриття внутришньоквартальних проїздів по вул. 4 Слобідська, 88 у Заводському районі м.Миколаєва</t>
  </si>
  <si>
    <t>вул. 4 Слобідська, 88 у Заводському районі м.Миколаєва</t>
  </si>
  <si>
    <t>Адміністрація Заводського району Миколаївської міської ради</t>
  </si>
  <si>
    <t>ПП Олкріс</t>
  </si>
  <si>
    <t>Реконструкція покрівлі ЗОШ №64, вул.Архітектора Старова, 6-Г у м.Миколаєві, у т.ч. проектно-вишукувальні роботи та експертиза</t>
  </si>
  <si>
    <t>Миколаївська загальноосвітня школа І-ІІ ступенів № 64
Миколаївської міської ради Миколаївської області</t>
  </si>
  <si>
    <t>вул.Архітектора Старова, 6-Г у м.Миколаєві</t>
  </si>
  <si>
    <t>Будівництво навчальних приміщень для розвитку творчого потенціалу учнів з інклюзивною формою навчання МСШ "Академія дитячої творчості" за адресою: 54034, м. Миколаїв, вул. Олійника, 36, в т.ч. проектно-вишукувальні роботи та експертиза                     КП</t>
  </si>
  <si>
    <t xml:space="preserve">МСШ "Академія дитячої творчості" </t>
  </si>
  <si>
    <t>м. Миколаїв, вул. Олійника, 36</t>
  </si>
  <si>
    <t>КП ММР "Капітальне будівництво міста Миколаєва"</t>
  </si>
  <si>
    <t>КНВП "Тріботехніка"</t>
  </si>
  <si>
    <t>Капітальний ремонт будівлі Палацу творчості учнів по вул. Адміральській, 31 у м.Миколаєві, в т.ч. проектно-вишукувальні роботи та експертиза</t>
  </si>
  <si>
    <t xml:space="preserve">Палацу творчості учнів </t>
  </si>
  <si>
    <t>вул. Адміральській, 31 у м.Миколаєві</t>
  </si>
  <si>
    <t>ТОВ "Промбудград"</t>
  </si>
  <si>
    <t>Капітальний ремонт спортивного майданчику ЗОШ №11 по вул. Китобоїв, 3 у м. Миколаєві, в т.ч. проектно-вишукувальні роботи та експертиза                                         ЗОШ №11</t>
  </si>
  <si>
    <t>Миколаївська загальноосвітня школа І-ІІІ ступенів № 11
Миколаївської міської ради Миколаївської області</t>
  </si>
  <si>
    <t>м.Миколаїв, 54056  вул. Китобоїв,3</t>
  </si>
  <si>
    <t>ТОВ БК "Контакт Жил Буд"</t>
  </si>
  <si>
    <t>Реконструкція покрівлі ЗОШ №40 по вул.Металургів, 97/1  у м.Миколаєві, у  т.ч.проектно-вишукувальні роботи та експертиза</t>
  </si>
  <si>
    <t>Миколаївська загальноосвітня школа І-ІІІ ступенів № 40
Миколаївської міської ради Миколаївської області</t>
  </si>
  <si>
    <t>м.Миколаїв, 54050 вул. Металургів,97/1</t>
  </si>
  <si>
    <t>ФОП Павлінов Ю.О.</t>
  </si>
  <si>
    <t>ПД на "Капітальний ремонт будівлі (встановлення системи відіоспостереження та доочищення води) ММК по вул. Котельна, 8 у м.Миколаєві" та виконання функції експертизи ПД у філії ДП "Укрдержбудекспертиза" у  Миколаївській області"</t>
  </si>
  <si>
    <t xml:space="preserve">технічний нагляд  на "Капітальний ремонт будівлі (встановлення системи відіоспостереження та доочищення води) ММК по вул. Потьомкінська, 147А  у м.Миколаєві"                                                                       </t>
  </si>
  <si>
    <t>ТОВ Фірма "МЕТАЛБУДСЕРВІС"</t>
  </si>
  <si>
    <t xml:space="preserve"> капітальний ремонт будівлі (встановлення систем відеоспостереження та доочищення води) Миколаївського муніціпального колегіуму по вул.Потьомкінська, 147 А у м.Миколаєві                                                                                </t>
  </si>
  <si>
    <t>Миколаївський муніципальний колегіум імені Володимира Дмитровича Чайки Миколаївської міської ради Миколаївської області</t>
  </si>
  <si>
    <t>м.Миколаїв, 54003  вул. Поьомкінська, 147-а</t>
  </si>
  <si>
    <t xml:space="preserve">ПД на "Капітальний ремонт будівлі (встановлення системи відіоспостереження та доочищення води) ММК по вул. Котельна, 8 у м.Миколаєві" та виконання функції експертизи ПД у філії ДП "Укрдержбудекспертиза" у  Миколаївській області"      </t>
  </si>
  <si>
    <t>технічний нагляд  на "Капітальний ремонт будівлі (встановлення системи відіоспостереження та доочищення води) ММК по вул. Котельна, 8 у м.Миколаєві"</t>
  </si>
  <si>
    <t>Капітальний ремонт будівлі (встановлення системи відеоспостереження та доочищення води) Миколаївського муніципального колегіуму по вул.Котельна,8 у м.Миколаєві</t>
  </si>
  <si>
    <t>м.Миколаїв, 54003  вул. Котельна, 8</t>
  </si>
  <si>
    <t>Капітальний ремонт огорожі ЗОШ №46 по вул. вул. 9-а Повздожня, 10 у м. Миколаєві</t>
  </si>
  <si>
    <t>ТОВ "Ласкардо"</t>
  </si>
  <si>
    <t xml:space="preserve">проектні роботи по капітальному ремонту огорожі  ЗОШ № 46 по вул. 9-та Повздовжня, 10 у м.Миколаєві та виконання функції експертизи ПД </t>
  </si>
  <si>
    <t>Миколаївська загальноосвітня школа І-ІІІ ступенів № 46
Миколаївської міської ради Миколаївської області</t>
  </si>
  <si>
    <t>м.Миколаїв, 54034  вул. 9-а Повздовжня, 10</t>
  </si>
  <si>
    <t>ФОП Канівченко В.Г.</t>
  </si>
  <si>
    <t xml:space="preserve">ПКД по обєкту: "Капітальний ремонт будівлі ЗОШ № 54 по пр. Корабелів, 10б у м.Миколаєві                         </t>
  </si>
  <si>
    <r>
      <t>Капітальний ремонт будівлі ЗОШ №54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 пр. Корабелів 10-Б  у м.Миколаєві</t>
    </r>
  </si>
  <si>
    <t>Миколаївська загальноосвітня школа І-ІІІ ступенів № 54
Миколаївської міської ради Миколаївської області</t>
  </si>
  <si>
    <t>м.Миколаїв, 54052  пр. Корабелів, 10-Б</t>
  </si>
  <si>
    <t>Капітальний ремонт будівлі ЗОШ №25 по вул. Защука, 2-А у м.Миколаєві</t>
  </si>
  <si>
    <t>ФОП Зубик А.В.</t>
  </si>
  <si>
    <t xml:space="preserve">ПКД по проекту :"Капітальний ремонт будівлі ЗОШ №25 по вул.Защука, 2а у м.Миколаєві"  та функції Замовника експертизи ПКД                                                          </t>
  </si>
  <si>
    <t>ТОВ "Південьбуд Миколаїв ЛТД"</t>
  </si>
  <si>
    <t>Миколаївська загальноосвітня школа І-ІІІ ступенів № 25
Миколаївської міської ради Миколаївської області</t>
  </si>
  <si>
    <t>м.Миколаїв, 54020  вул. Защука, 2-А</t>
  </si>
  <si>
    <t>ФОП Залітко В.В.</t>
  </si>
  <si>
    <r>
      <t>Капітальний ремонт огорожі ЗОШ №20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 вул.Космонавтів,70 в м. Миколаєві</t>
    </r>
  </si>
  <si>
    <t>КП "Дирекція з капітального будівництва та реконструкції" Миколаївської міської ради</t>
  </si>
  <si>
    <t xml:space="preserve">про надання послуг з технічного нагляду по обєкту "Капітальний ремонт огорожі ЗОШ№20 по вул.Космонавтів,70 у м.Миколаєві" (Коригування)  </t>
  </si>
  <si>
    <t>авторський нагляд  по обєкту:"Капітальний ремонт огорожі  ЗОШ № 20 по вул. Космонавтів, 70 у м.Миколаєві"</t>
  </si>
  <si>
    <t xml:space="preserve">проектні роботи по капітальному ремонту огорожі  ЗОШ № 20 по вул. Космонавтів, 70 у м.Миколаєві та виконання функції експертизи ПД </t>
  </si>
  <si>
    <t>Миколаївська загальноосвітня школа І-ІІІ ступенів № 20
Миколаївської міської ради Миколаївської області</t>
  </si>
  <si>
    <t>м.Миколаїв, 54048  вул. Космонавтів, 70</t>
  </si>
  <si>
    <t>ТОВ "Тавріямонолітбуд"</t>
  </si>
  <si>
    <t xml:space="preserve">Капітальний ремонт огорожі ЗОШ № 24 по вул.Лісна,1 у м.Миколаєві </t>
  </si>
  <si>
    <t xml:space="preserve">технагляд по капітальному ремонту огорожі ЗОШ № 24 по вул.Лісна,1 у м.Миколаєві </t>
  </si>
  <si>
    <t>Миколаївська загальноосвітня школа І-ІІІ ступенів № 24
Миколаївської міської ради Миколаївської області</t>
  </si>
  <si>
    <t>м.Миколаїв, 54048  вул. Лісова, 1</t>
  </si>
  <si>
    <t>ТОВ "СТРОЙ  МИР ИНДАСТРИЗ"</t>
  </si>
  <si>
    <t>Капітальний ремонт огорожі  ЗОШ №11 по вул. Китобоїв, 3 у м. Миколаєві, в т.ч. проектно-вишукувальні роботи та експертиза</t>
  </si>
  <si>
    <t>ТОВ "ІМПОРТСТРОЙ"</t>
  </si>
  <si>
    <t>Капітальний ремонт огорожі ЗОШ №44 по вул. Знаменська,1 у м. Миколаєві, в т.ч. проектно-вишукувальні роботи та експертиза</t>
  </si>
  <si>
    <t>Миколаївська загальноосвітня школа І-ІІІ ступенів № 44
Миколаївської міської ради Миколаївської області</t>
  </si>
  <si>
    <t>м.Миколаїв, 54037  вул. Знаменська, 1</t>
  </si>
  <si>
    <t>ТОВ "Будівельна компанія "Контакт-Жилбуд"</t>
  </si>
  <si>
    <r>
      <t>Капітальний ремонт спортивного майданчику ЗОШ №61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 вул.Матросова,2   у м.Миколаєві</t>
    </r>
  </si>
  <si>
    <t>ФОП Павлов А.А.</t>
  </si>
  <si>
    <t xml:space="preserve">авторський нагляд по обєкту:"Капітальний ремонт спортивного майданчику ЗОШ № 61 по вул. Матросова, 2 у м.Миколаєві"     (корегування 2) </t>
  </si>
  <si>
    <t xml:space="preserve">технагляд по обєкту:"Капітальний ремонт спортивного майданчику ЗОШ № 61 по вул. Матросоваа, 2 у м.Миколаєві"     (корегування 2)   </t>
  </si>
  <si>
    <t>Миколаївська загальноосвітня школа І-ІІІ ступенів № 61
Миколаївської міської ради Миколаївської області</t>
  </si>
  <si>
    <t>м.Миколаїв, 54036  вул. Олександра Матросова, 2</t>
  </si>
  <si>
    <t>Капітальний ремонт покрівлі ДНЗ № 52 по пров.. Парусний, 7 Б у м.Миколаєві</t>
  </si>
  <si>
    <t>ФОП Шарапов Ю.М.</t>
  </si>
  <si>
    <t xml:space="preserve">виконання послуг з сертифікації енергетичної ефективності будівлі по обєкту "Капітальний ремонт покрівлі ДНЗ № 52 по пров. Парусному, 7-б в м.Миколаєві" (Коригування)                                                                              </t>
  </si>
  <si>
    <t>ФОП Кунецький С.А.</t>
  </si>
  <si>
    <t xml:space="preserve">ПД по обєкту:"Капітальний ремонт покрівлі ДНЗ № 52 по пров. Парусному, 7-б в м.Миколаєві" та виконання функції експертизи ПД     </t>
  </si>
  <si>
    <t>Дошкільний навчальний заклад № 52 "Маяк"</t>
  </si>
  <si>
    <t>м.Миколаїв, 54025  пров. Парусний, 7-б</t>
  </si>
  <si>
    <t>ТОВ "Н.Проект-Тайм"</t>
  </si>
  <si>
    <t>Капітальний ремонт будівлі ДНЗ № 70 по вул. Фалеєвській, 11 у т.ч. проектно-вишукувальні роботи та експертиза</t>
  </si>
  <si>
    <t>Дошкільний навчальний заклад № 70 "Чарівний птах"</t>
  </si>
  <si>
    <t>м.Миколаїв, 54003  вул. Фалеївська, 11</t>
  </si>
  <si>
    <t>ТОВ "Компанія Нікон-Буд"</t>
  </si>
  <si>
    <t>Капітальний ремонт будівлі ДНЗ № 79 по вул. Казарського, 1у м.Миколаєві у т.ч. проектно-вишукувальні роботи та експертиза</t>
  </si>
  <si>
    <t>технічний нагляд на капітальний ремонт будівлі ДНЗ № 79  по вул. Казарський, 1 у м.Миколаєві (коригування)</t>
  </si>
  <si>
    <t>ПКД пок апітальному  ремонту будівлі ДНЗ № 79 по вул. Казарського, 1 у м.Миколаєві</t>
  </si>
  <si>
    <t>Дошкільний навчальний заклад № 79 "Волошка"</t>
  </si>
  <si>
    <t>м.Миколаїв, 54007  вул. Казарського, 1</t>
  </si>
  <si>
    <t>ТОВ " Антарес-БУД"</t>
  </si>
  <si>
    <t>Капітальний ремонт покрівлі ДНЗ № 5 по вул.Колодязна, 41, у м.Миколаєві  в т.ч. проектно-вишукувальні роботи та експертиза</t>
  </si>
  <si>
    <t xml:space="preserve">Дошкільний навчальний заклад №5 </t>
  </si>
  <si>
    <t>54003,м.Миколаїв, вул.Колодязна,41</t>
  </si>
  <si>
    <t>ФОП Володкович Т.О.</t>
  </si>
  <si>
    <t>ТОВ "Житлорембуд - Ніка"</t>
  </si>
  <si>
    <r>
      <t>Капітальний ремонт будівлі ДНЗ №139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 вул.Артема 28-а , ум.Миколаєві, в т.ч. проектно-вишукувальні роботи та експертиз</t>
    </r>
  </si>
  <si>
    <t>Дошкільний навчальний заклад № 139 "Золотий півник"</t>
  </si>
  <si>
    <t>м.Миколаїв, 54051  вул. Океанівська (Артема), 28-а</t>
  </si>
  <si>
    <t>послуги з сертифікація енергетичної ефективності будівлі по об'єкту "Капітальний ремонт будівлі ДНЗ №72 по вул. Молдавська,9 у м. Миколаєві"</t>
  </si>
  <si>
    <t xml:space="preserve">проектно-кошторисна документація по обєкту:"Капітальний ремонт будівлі ДНЗ № 72 по вул. Молдавська, 9 у м.Миколаєві.  Коригування"  </t>
  </si>
  <si>
    <t xml:space="preserve">авторський нагляд по обєкту:"Капітальний ремонт будівлі ДНЗ № 72 по вул. Молдавська, 9 у м.Миколаєві"     (корегування )     </t>
  </si>
  <si>
    <t>Сертіфікат</t>
  </si>
  <si>
    <t xml:space="preserve"> за сертифікат Капітальний ремонт будівлі ДНЗ №72 по вул. Молдавська, 9 у м. Миколаєві (коригування)        </t>
  </si>
  <si>
    <t xml:space="preserve">технагляд по обєкту:"Капітальний ремонт будівлі ДНЗ № 72 по вул. Молдавська, 9 у м.Миколаєві"                                    (корегування )  </t>
  </si>
  <si>
    <t>Капітальний ремонт будівлі ДНЗ №72 М. Корениха, вул. Молдавська, 9 у м. Миколаєві</t>
  </si>
  <si>
    <t>Дошкільний навчальний заклад № 72 "Світлячок"</t>
  </si>
  <si>
    <t>м.Миколаїв, 54059 М.Корениха,  вул. Молдавська, 9</t>
  </si>
  <si>
    <t>Управління освіти Миколаївської міської ради</t>
  </si>
  <si>
    <t>Управління земельних ресурсів Миколаївської міської ради</t>
  </si>
  <si>
    <t xml:space="preserve">Складання ПКД </t>
  </si>
  <si>
    <t>Проведення капітального ремонту та обладнання спеціальними засобами і пристосуваннями для адаптації житлових та санітарно-гігієнічних приміщень власних будинків та квартир особам з інвалідністю, які пересуваються на інвалідних  візках та особам, що виховують дітей з інвалідністю, які пересуваються на інвалідних візках та потребують постійної сторонньої допомоги за місцем їх реєстрації у відповідності до вимог санітарних та будівельних норм</t>
  </si>
  <si>
    <t>Капітальний ремонт житлових приміщень</t>
  </si>
  <si>
    <t>вул. Генерала Карпенка, буд.6,кв. 8; вул.Крилова, буд.12/2, кв.19; пров.Весняний, буд.1</t>
  </si>
  <si>
    <t>ФОП Борзов С.Є. - виконання робіт, КП ММР Капітальне будівництво міста Миколаєва - здійснення тех.нагляду</t>
  </si>
  <si>
    <t xml:space="preserve">Капітальний ремонт власних жилих будинків і квартир осіб з інвалідністю внаслідок війни та осіб, які мають особливі заслуги перед Батьківщиною - проект капітального ремонту квартири інваліда війни ІІІ групи Завражина О.О. </t>
  </si>
  <si>
    <t xml:space="preserve"> Бузький бульвар, буд. 17А, кв. 8 </t>
  </si>
  <si>
    <t xml:space="preserve">Капітальний ремонт власних жилих будинків і квартир осіб з інвалідністю внаслідок війни та осіб, які мають особливі заслуги перед Батьківщиною - капітальний ремонт квартири інваліда війни І групи Прядка М.В. за адерсою: Бузький бульвар, буд. 5А, кв. 8 </t>
  </si>
  <si>
    <t xml:space="preserve">Бузький бульвар, буд. 17А, кв. 8 </t>
  </si>
  <si>
    <t xml:space="preserve">Капітальний ремонт власних жилих будинків і квартир осіб з інвалідністю внаслідок війни та осіб, які мають особливі заслуги перед Батьківщиною - капітальний ремонт квартири інваліда війни ІІІ групи Звездуна М.С.  </t>
  </si>
  <si>
    <t>пр.Героїв України, буд. 21, кв. 6</t>
  </si>
  <si>
    <t>Капітальний ремонт  власних жилих будинків і квартир осіб з інвалідністю внаслідок війни та осіб, які мають особливі заслуги перед Батьківщиною - капітальний ремонт квартири інваліда війни І гр. Вороненка Д.М.</t>
  </si>
  <si>
    <t>пр. Богоявленський, буд.293 кв. 13</t>
  </si>
  <si>
    <t>Департамент праці та соціального захисту населення Миколаївської міської ради</t>
  </si>
  <si>
    <t>Департамент внутрішнього фінансового контролю, нагляду та протидії корупції Миколаївської міської ради</t>
  </si>
  <si>
    <t>Департамент з надання адміністративних послуг Миколаївської міської ради</t>
  </si>
  <si>
    <t>Управління державного архітектурно-будівельного контролю Миколаївської міської ради</t>
  </si>
  <si>
    <t>Управління комунального майна Миколаївської міської ради</t>
  </si>
  <si>
    <t>Департамент фінансів Миколаївської міської ради</t>
  </si>
  <si>
    <t>Департамент архітектури та містобудування  Миколаївської міської ради</t>
  </si>
  <si>
    <t>КП ММР «Капітальне будівництво міста Миколаєва»</t>
  </si>
  <si>
    <t>отримання сертифікату готовності об`єкту будівництва до експлуатації</t>
  </si>
  <si>
    <t xml:space="preserve">Нове будівництво місцевої автоматизованої системи централізованого  оповіщення про загрозу або виникнення НС в місті Миколаєві </t>
  </si>
  <si>
    <t>м. Миколаїв</t>
  </si>
  <si>
    <t>Управління з питань НС та ЦЗН ММР</t>
  </si>
  <si>
    <t>Реконструкція гребної бази  КДЮСШ  " Комунарівець" по вул. Паромний  Узвіз  1 в м .Миколаєві (робочий проект), у т.ч. проектні роботи, геодезія тезнічне обстеження  та експертиза приміщень</t>
  </si>
  <si>
    <t>Миколаїв вул.Паромний узвіз,14</t>
  </si>
  <si>
    <t>ПП КБ "Глиноземпромбуд"</t>
  </si>
  <si>
    <t>корегування кошторисної документації</t>
  </si>
  <si>
    <t>КП ММР"Капітальне будівництво міста миколаєва"</t>
  </si>
  <si>
    <t>технічний нагляд</t>
  </si>
  <si>
    <t>улаштування покрівлі</t>
  </si>
  <si>
    <t>Реконструкція елінгу №1 ДЮСШ №2 з надбудовою спортивного  залу за адресою:  вул, Спортивна,11 у м.Миколаві  в т.ч. проектні роботи та експертиза</t>
  </si>
  <si>
    <t>Миколаїв вул.Спортивна,  11</t>
  </si>
  <si>
    <t>ДП " Укрдержекспертиза"</t>
  </si>
  <si>
    <t>експертиза</t>
  </si>
  <si>
    <t>КП ММР " Капітальне будівництво м.Миколаєва</t>
  </si>
  <si>
    <t>проведення технагляду</t>
  </si>
  <si>
    <t>ТОВ "Будівельна компанія"Контакт-Жилбуд"</t>
  </si>
  <si>
    <t>роботи по монтажу системи панельно-променевого опалення ,механічної  припливної і автоматичної системи вентиляції,влаштування топкової</t>
  </si>
  <si>
    <t>ФОП ПавліновЮ.А.</t>
  </si>
  <si>
    <t>корегування   КПД</t>
  </si>
  <si>
    <t xml:space="preserve">Капітальний ремонт вентиляції  та опалення спортивної зали (Літ,Л1) веслувальної бази по вул.2Екіпажна,123 у м.миколаєві </t>
  </si>
  <si>
    <t>Миколаїв вул.Єкіпажна, 123</t>
  </si>
  <si>
    <t>Капітальний ремонт адміністративної будівлі  Центрального міського стадіону  по вул.Спортивна 1/1 в м.Миколаєві</t>
  </si>
  <si>
    <t>Миколаїв вул.Спортивна,  1/1</t>
  </si>
  <si>
    <t>ТОВ "НаноСпорт"</t>
  </si>
  <si>
    <t>розбирання покриття з нарушеною структурою улаштування  безшовного покриття,розмітка легкоатлетичного манежу</t>
  </si>
  <si>
    <t>ФОП Королюк М.А.</t>
  </si>
  <si>
    <t>ФОП Гри горенко Д.С.</t>
  </si>
  <si>
    <t>проектно-кошторисна документація, експертиза та авторський нагляд</t>
  </si>
  <si>
    <t>Капітальний ремонт  спортивного покриття Легкоатлетичного манежу  Центрального міського  стадіону  по вул.Спортивній, 1/1 у м.Миколаєві (орієнтована вартість) у т.ч. проектні робота та експертиза</t>
  </si>
  <si>
    <t>корегування КПД</t>
  </si>
  <si>
    <t>Капітальний ремонт покрівлі СДЮШОР №6  по вул .Пушкінській, 73-В у м. Миколаєві у т.ч. проектні роботи та експертиза</t>
  </si>
  <si>
    <t>Миколаїв вул.Пушкінська,73-В</t>
  </si>
  <si>
    <t>ТОВ Ласкардо</t>
  </si>
  <si>
    <t>КП "Капітальне будівництво в м.Миколаєві"</t>
  </si>
  <si>
    <t>технагяд</t>
  </si>
  <si>
    <t>ТОВ " Миколаївміськбуд"</t>
  </si>
  <si>
    <t>улаштування основ під тротуари,покритів із керамічних плиток,огорожі з металевої сітки</t>
  </si>
  <si>
    <t xml:space="preserve">Капітальний ремонт футбольного майданчику  із штучним покриттям  в ДЮСШ №3 по вул.Погранична, 45 у м.Миколаєві (коригування)у т.ч. проектні роботи та експертиза  </t>
  </si>
  <si>
    <t>Миколаїв вул.Погранична, 45</t>
  </si>
  <si>
    <t xml:space="preserve"> Управління у справах фізичної культури і спорту Миколаївської міської ради </t>
  </si>
  <si>
    <t xml:space="preserve">"Капітальний ремонт ліфтової шахти у хірургічному корпусі КНП ММР "Міська лікарня №5" за адресою: м.Миколаїв, пр. Богоявленський,336, з заміною вантажно-лікарняного ліфту, в тому числі проектно-кошторисна документація та експертиза"" </t>
  </si>
  <si>
    <t xml:space="preserve">МЛ №5 - Придбання  і предметів довгострокового користування мединого обладнання </t>
  </si>
  <si>
    <t>54051, м. Миколаїв, пр. Богоявленський, 336</t>
  </si>
  <si>
    <t>ДП "Укрдержекспертиза"           та                                                ТОВ "Н. Проект-Тайм"</t>
  </si>
  <si>
    <t>"Реконструкція приймального відділення КНП ММР "Міська лікарня швидкої медичної допомоги" по вул. Корабелів,14-В у м. Миколаєві, в тому числі проектно-кошторисна документація та експертиза"</t>
  </si>
  <si>
    <t>ЛШМД  -  Роботи будівельні (45000000-7)</t>
  </si>
  <si>
    <t xml:space="preserve">54020, м.Миколаїв,         вул.Корабелів, 14В  </t>
  </si>
  <si>
    <t>ТОВ "Фаворит ліфт"</t>
  </si>
  <si>
    <t>"Капітальний ремонт (заміна) двох ліфтів у головному корпусі Міської лікарні швидкої медичної допомоги по вул. Корабелів,14-В у м. Миколаєві, в тому числі проектно-кошторисна документація та експертиза"</t>
  </si>
  <si>
    <t>ТОВ "Миколаїв проект"</t>
  </si>
  <si>
    <t>"Капітальний ремонт приймального відділення комунального некомерційного підприємства Миколаївської міської ради "Міська лікарня №3" по вул. Космонавтів,97 у м. Миколаєві, в тому числі проектно-кошторисна документація та експертиза""</t>
  </si>
  <si>
    <t xml:space="preserve">МЛ №3  - Капітальний ремонт </t>
  </si>
  <si>
    <t>м.Миколаїв,  вул. Космонавтів, 98</t>
  </si>
  <si>
    <t>Товариство з обмеженою відповідальністю «Центрліфт»</t>
  </si>
  <si>
    <t>"Капітальний ремонт з придбанням вантажно-медичного ліфту з модернізацією ліфтової шахти у хірургічному корпусі комунального некомерційного підприємства Миколаївської міської ради "Міська лікарня №3" по вул. Космонавтів,97 у м. Миколаєві, в тому числі проектно-кошторисна документація та експертиза""</t>
  </si>
  <si>
    <t>м.Миколаїв,  вул. Космонавтів, 97</t>
  </si>
  <si>
    <t>Управління охорони здоров'я Миколаївської міської ради</t>
  </si>
  <si>
    <t>Виконано</t>
  </si>
  <si>
    <t>Заплановано на період з початку року з урахуванням змін</t>
  </si>
  <si>
    <t xml:space="preserve">Заплановано на рік з урахуванням змін
</t>
  </si>
  <si>
    <t>Виконавець робіт/послуг (підрядник)</t>
  </si>
  <si>
    <t>Сума, тис. грн. (з трьома дес. знаками)</t>
  </si>
  <si>
    <t>Види робіт</t>
  </si>
  <si>
    <t>Назва об'єкту</t>
  </si>
  <si>
    <t>Адреса</t>
  </si>
  <si>
    <t xml:space="preserve">Інформація про виконання капітальних  ремонтів, будівництва, реконструкції, реставрації доріг, внутрішньоквартальних проїздів, дахів, будівель і споруд та ін. за  9 місяців 2020 року по бюджету м. Миколаєва в розрізі головних розпорядників коштів </t>
  </si>
</sst>
</file>

<file path=xl/styles.xml><?xml version="1.0" encoding="utf-8"?>
<styleSheet xmlns="http://schemas.openxmlformats.org/spreadsheetml/2006/main">
  <numFmts count="10">
    <numFmt numFmtId="164" formatCode="#,##0.000"/>
    <numFmt numFmtId="165" formatCode="0.000"/>
    <numFmt numFmtId="166" formatCode="#,##0.000\ _₴"/>
    <numFmt numFmtId="167" formatCode="#,##0.0"/>
    <numFmt numFmtId="168" formatCode="#,##0.00000"/>
    <numFmt numFmtId="169" formatCode="0.00000"/>
    <numFmt numFmtId="170" formatCode="#,##0.00_ ;\-#,##0.00\ "/>
    <numFmt numFmtId="171" formatCode="#,##0.000_ ;\-#,##0.000\ "/>
    <numFmt numFmtId="172" formatCode="#,##0.000\ _г_р_н_."/>
    <numFmt numFmtId="173" formatCode="0.00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rgb="FF4D4D4D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2"/>
      <name val="Times New Roman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9" fillId="0" borderId="0"/>
    <xf numFmtId="0" fontId="13" fillId="0" borderId="0">
      <alignment vertical="top"/>
    </xf>
    <xf numFmtId="0" fontId="1" fillId="0" borderId="0"/>
    <xf numFmtId="0" fontId="20" fillId="0" borderId="0"/>
    <xf numFmtId="0" fontId="9" fillId="0" borderId="0"/>
    <xf numFmtId="0" fontId="23" fillId="0" borderId="0"/>
    <xf numFmtId="0" fontId="23" fillId="0" borderId="0"/>
    <xf numFmtId="0" fontId="25" fillId="0" borderId="0"/>
  </cellStyleXfs>
  <cellXfs count="375">
    <xf numFmtId="0" fontId="0" fillId="0" borderId="0" xfId="0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left" vertical="top"/>
    </xf>
    <xf numFmtId="164" fontId="5" fillId="0" borderId="2" xfId="0" applyNumberFormat="1" applyFont="1" applyFill="1" applyBorder="1" applyAlignment="1"/>
    <xf numFmtId="165" fontId="5" fillId="0" borderId="2" xfId="0" applyNumberFormat="1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 wrapText="1"/>
    </xf>
    <xf numFmtId="164" fontId="6" fillId="0" borderId="4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top" wrapText="1"/>
    </xf>
    <xf numFmtId="165" fontId="7" fillId="0" borderId="5" xfId="0" applyNumberFormat="1" applyFont="1" applyFill="1" applyBorder="1" applyAlignment="1">
      <alignment horizontal="left" vertical="top"/>
    </xf>
    <xf numFmtId="165" fontId="7" fillId="0" borderId="5" xfId="0" applyNumberFormat="1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2" fontId="8" fillId="0" borderId="9" xfId="0" applyNumberFormat="1" applyFont="1" applyFill="1" applyBorder="1" applyAlignment="1">
      <alignment horizontal="left" vertical="top" wrapText="1"/>
    </xf>
    <xf numFmtId="165" fontId="8" fillId="0" borderId="9" xfId="0" applyNumberFormat="1" applyFont="1" applyFill="1" applyBorder="1" applyAlignment="1">
      <alignment vertical="center"/>
    </xf>
    <xf numFmtId="2" fontId="8" fillId="0" borderId="9" xfId="0" applyNumberFormat="1" applyFont="1" applyFill="1" applyBorder="1" applyAlignment="1">
      <alignment horizontal="left" vertical="top"/>
    </xf>
    <xf numFmtId="2" fontId="6" fillId="0" borderId="10" xfId="0" applyNumberFormat="1" applyFont="1" applyFill="1" applyBorder="1" applyAlignment="1">
      <alignment horizontal="left" vertical="top" wrapText="1"/>
    </xf>
    <xf numFmtId="165" fontId="6" fillId="0" borderId="10" xfId="0" applyNumberFormat="1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vertical="center"/>
    </xf>
    <xf numFmtId="2" fontId="3" fillId="0" borderId="5" xfId="0" applyNumberFormat="1" applyFont="1" applyFill="1" applyBorder="1" applyAlignment="1">
      <alignment horizontal="left" vertical="top" wrapText="1"/>
    </xf>
    <xf numFmtId="2" fontId="10" fillId="0" borderId="5" xfId="2" applyNumberFormat="1" applyFont="1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vertical="center"/>
    </xf>
    <xf numFmtId="2" fontId="10" fillId="0" borderId="5" xfId="2" applyNumberFormat="1" applyFont="1" applyFill="1" applyBorder="1" applyAlignment="1" applyProtection="1">
      <alignment horizontal="left" vertical="top" wrapText="1"/>
    </xf>
    <xf numFmtId="165" fontId="6" fillId="0" borderId="11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2" fontId="10" fillId="0" borderId="13" xfId="0" applyNumberFormat="1" applyFont="1" applyFill="1" applyBorder="1" applyAlignment="1">
      <alignment horizontal="left" vertical="top" wrapText="1"/>
    </xf>
    <xf numFmtId="2" fontId="10" fillId="0" borderId="5" xfId="2" applyNumberFormat="1" applyFont="1" applyFill="1" applyBorder="1" applyAlignment="1">
      <alignment horizontal="left" vertical="top" wrapText="1" shrinkToFit="1"/>
    </xf>
    <xf numFmtId="2" fontId="6" fillId="0" borderId="9" xfId="0" applyNumberFormat="1" applyFont="1" applyFill="1" applyBorder="1" applyAlignment="1">
      <alignment horizontal="left" vertical="top" wrapText="1"/>
    </xf>
    <xf numFmtId="165" fontId="6" fillId="0" borderId="9" xfId="0" applyNumberFormat="1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vertical="center" wrapText="1"/>
    </xf>
    <xf numFmtId="165" fontId="3" fillId="0" borderId="4" xfId="0" applyNumberFormat="1" applyFont="1" applyFill="1" applyBorder="1" applyAlignment="1">
      <alignment vertical="center" wrapText="1"/>
    </xf>
    <xf numFmtId="2" fontId="10" fillId="0" borderId="5" xfId="0" applyNumberFormat="1" applyFont="1" applyFill="1" applyBorder="1" applyAlignment="1">
      <alignment horizontal="left" vertical="top" wrapText="1" shrinkToFit="1"/>
    </xf>
    <xf numFmtId="2" fontId="10" fillId="0" borderId="5" xfId="0" applyNumberFormat="1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49" fontId="10" fillId="0" borderId="5" xfId="0" applyNumberFormat="1" applyFont="1" applyFill="1" applyBorder="1" applyAlignment="1">
      <alignment horizontal="left" vertical="top" wrapText="1"/>
    </xf>
    <xf numFmtId="166" fontId="12" fillId="0" borderId="5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top"/>
    </xf>
    <xf numFmtId="0" fontId="10" fillId="0" borderId="16" xfId="0" applyFont="1" applyFill="1" applyBorder="1" applyAlignment="1">
      <alignment horizontal="left" vertical="top"/>
    </xf>
    <xf numFmtId="0" fontId="12" fillId="0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 wrapText="1"/>
    </xf>
    <xf numFmtId="166" fontId="6" fillId="0" borderId="5" xfId="0" applyNumberFormat="1" applyFont="1" applyFill="1" applyBorder="1" applyAlignment="1">
      <alignment vertical="center" wrapText="1"/>
    </xf>
    <xf numFmtId="166" fontId="6" fillId="0" borderId="4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 wrapText="1"/>
    </xf>
    <xf numFmtId="167" fontId="7" fillId="0" borderId="4" xfId="3" applyNumberFormat="1" applyFont="1" applyFill="1" applyBorder="1" applyAlignment="1">
      <alignment horizontal="left" vertical="top" wrapText="1"/>
    </xf>
    <xf numFmtId="166" fontId="6" fillId="0" borderId="17" xfId="0" applyNumberFormat="1" applyFont="1" applyFill="1" applyBorder="1" applyAlignment="1">
      <alignment vertical="center" wrapText="1"/>
    </xf>
    <xf numFmtId="167" fontId="7" fillId="0" borderId="5" xfId="3" applyNumberFormat="1" applyFont="1" applyFill="1" applyBorder="1" applyAlignment="1">
      <alignment horizontal="left" vertical="top" wrapText="1"/>
    </xf>
    <xf numFmtId="167" fontId="7" fillId="0" borderId="17" xfId="3" applyNumberFormat="1" applyFont="1" applyFill="1" applyBorder="1" applyAlignment="1">
      <alignment horizontal="left" vertical="top" wrapText="1"/>
    </xf>
    <xf numFmtId="166" fontId="6" fillId="0" borderId="18" xfId="0" applyNumberFormat="1" applyFont="1" applyFill="1" applyBorder="1" applyAlignment="1">
      <alignment vertical="center" wrapText="1"/>
    </xf>
    <xf numFmtId="167" fontId="7" fillId="0" borderId="18" xfId="3" applyNumberFormat="1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top" wrapText="1"/>
    </xf>
    <xf numFmtId="166" fontId="3" fillId="0" borderId="5" xfId="0" applyNumberFormat="1" applyFont="1" applyFill="1" applyBorder="1" applyAlignment="1">
      <alignment vertical="center"/>
    </xf>
    <xf numFmtId="166" fontId="3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166" fontId="3" fillId="0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top" wrapText="1"/>
    </xf>
    <xf numFmtId="0" fontId="3" fillId="0" borderId="5" xfId="4" applyFont="1" applyFill="1" applyBorder="1" applyAlignment="1">
      <alignment horizontal="left" vertical="top" wrapText="1"/>
    </xf>
    <xf numFmtId="166" fontId="11" fillId="0" borderId="5" xfId="0" applyNumberFormat="1" applyFont="1" applyFill="1" applyBorder="1" applyAlignment="1">
      <alignment vertical="center"/>
    </xf>
    <xf numFmtId="166" fontId="10" fillId="0" borderId="5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vertical="top"/>
    </xf>
    <xf numFmtId="166" fontId="6" fillId="0" borderId="4" xfId="0" applyNumberFormat="1" applyFont="1" applyFill="1" applyBorder="1" applyAlignment="1">
      <alignment vertical="center" wrapText="1"/>
    </xf>
    <xf numFmtId="165" fontId="3" fillId="0" borderId="4" xfId="0" applyNumberFormat="1" applyFont="1" applyFill="1" applyBorder="1" applyAlignment="1">
      <alignment horizontal="left" vertical="top" wrapText="1"/>
    </xf>
    <xf numFmtId="168" fontId="3" fillId="0" borderId="5" xfId="0" applyNumberFormat="1" applyFont="1" applyFill="1" applyBorder="1" applyAlignment="1"/>
    <xf numFmtId="168" fontId="6" fillId="0" borderId="5" xfId="0" applyNumberFormat="1" applyFont="1" applyFill="1" applyBorder="1" applyAlignment="1">
      <alignment wrapText="1"/>
    </xf>
    <xf numFmtId="165" fontId="3" fillId="0" borderId="4" xfId="0" applyNumberFormat="1" applyFont="1" applyFill="1" applyBorder="1" applyAlignment="1">
      <alignment horizontal="left" vertical="top" wrapText="1"/>
    </xf>
    <xf numFmtId="165" fontId="3" fillId="0" borderId="18" xfId="0" applyNumberFormat="1" applyFont="1" applyFill="1" applyBorder="1" applyAlignment="1">
      <alignment horizontal="left" vertical="top" wrapText="1"/>
    </xf>
    <xf numFmtId="165" fontId="3" fillId="0" borderId="5" xfId="0" applyNumberFormat="1" applyFont="1" applyFill="1" applyBorder="1" applyAlignment="1">
      <alignment horizontal="left" vertical="top" wrapText="1"/>
    </xf>
    <xf numFmtId="166" fontId="6" fillId="0" borderId="16" xfId="0" applyNumberFormat="1" applyFont="1" applyFill="1" applyBorder="1" applyAlignment="1">
      <alignment vertical="center" wrapText="1"/>
    </xf>
    <xf numFmtId="166" fontId="14" fillId="0" borderId="5" xfId="0" applyNumberFormat="1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166" fontId="12" fillId="0" borderId="5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top" wrapText="1"/>
    </xf>
    <xf numFmtId="165" fontId="3" fillId="0" borderId="18" xfId="0" applyNumberFormat="1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 shrinkToFit="1"/>
    </xf>
    <xf numFmtId="0" fontId="3" fillId="0" borderId="17" xfId="0" applyFont="1" applyFill="1" applyBorder="1" applyAlignment="1">
      <alignment horizontal="left" vertical="top" wrapText="1"/>
    </xf>
    <xf numFmtId="166" fontId="6" fillId="0" borderId="18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166" fontId="3" fillId="0" borderId="5" xfId="0" applyNumberFormat="1" applyFont="1" applyFill="1" applyBorder="1" applyAlignment="1">
      <alignment vertical="center" wrapText="1"/>
    </xf>
    <xf numFmtId="165" fontId="10" fillId="0" borderId="5" xfId="0" applyNumberFormat="1" applyFont="1" applyFill="1" applyBorder="1" applyAlignment="1">
      <alignment horizontal="left" vertical="top" wrapText="1" shrinkToFit="1"/>
    </xf>
    <xf numFmtId="0" fontId="3" fillId="3" borderId="18" xfId="0" applyFont="1" applyFill="1" applyBorder="1" applyAlignment="1">
      <alignment horizontal="left" vertical="top" wrapText="1"/>
    </xf>
    <xf numFmtId="166" fontId="6" fillId="3" borderId="18" xfId="0" applyNumberFormat="1" applyFont="1" applyFill="1" applyBorder="1" applyAlignment="1">
      <alignment vertical="center" wrapText="1"/>
    </xf>
    <xf numFmtId="166" fontId="3" fillId="3" borderId="5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166" fontId="6" fillId="0" borderId="5" xfId="0" applyNumberFormat="1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4" fontId="3" fillId="0" borderId="5" xfId="0" applyNumberFormat="1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166" fontId="11" fillId="0" borderId="5" xfId="0" applyNumberFormat="1" applyFont="1" applyFill="1" applyBorder="1" applyAlignment="1">
      <alignment vertical="center" wrapText="1"/>
    </xf>
    <xf numFmtId="166" fontId="8" fillId="0" borderId="18" xfId="0" applyNumberFormat="1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horizontal="left" vertical="top" wrapText="1"/>
    </xf>
    <xf numFmtId="166" fontId="10" fillId="0" borderId="5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 wrapText="1" shrinkToFit="1"/>
    </xf>
    <xf numFmtId="0" fontId="10" fillId="0" borderId="4" xfId="0" applyFont="1" applyFill="1" applyBorder="1" applyAlignment="1">
      <alignment horizontal="left" vertical="top" wrapText="1" shrinkToFit="1"/>
    </xf>
    <xf numFmtId="0" fontId="10" fillId="0" borderId="18" xfId="0" applyFont="1" applyFill="1" applyBorder="1" applyAlignment="1">
      <alignment horizontal="left" vertical="top" wrapText="1" shrinkToFit="1"/>
    </xf>
    <xf numFmtId="0" fontId="3" fillId="0" borderId="5" xfId="1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166" fontId="6" fillId="3" borderId="5" xfId="0" applyNumberFormat="1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left" vertical="top"/>
    </xf>
    <xf numFmtId="0" fontId="3" fillId="0" borderId="4" xfId="1" applyFont="1" applyFill="1" applyBorder="1" applyAlignment="1">
      <alignment horizontal="left" vertical="top" wrapText="1"/>
    </xf>
    <xf numFmtId="0" fontId="3" fillId="0" borderId="18" xfId="1" applyFont="1" applyFill="1" applyBorder="1" applyAlignment="1">
      <alignment horizontal="left" vertical="top" wrapText="1"/>
    </xf>
    <xf numFmtId="0" fontId="7" fillId="0" borderId="5" xfId="1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166" fontId="6" fillId="3" borderId="4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166" fontId="6" fillId="3" borderId="4" xfId="0" applyNumberFormat="1" applyFont="1" applyFill="1" applyBorder="1" applyAlignment="1">
      <alignment vertical="center" wrapText="1"/>
    </xf>
    <xf numFmtId="0" fontId="3" fillId="0" borderId="4" xfId="1" applyFont="1" applyFill="1" applyBorder="1" applyAlignment="1">
      <alignment horizontal="left" vertical="top" wrapText="1"/>
    </xf>
    <xf numFmtId="166" fontId="6" fillId="3" borderId="18" xfId="0" applyNumberFormat="1" applyFont="1" applyFill="1" applyBorder="1" applyAlignment="1">
      <alignment vertical="center" wrapText="1"/>
    </xf>
    <xf numFmtId="0" fontId="3" fillId="0" borderId="18" xfId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 shrinkToFit="1"/>
    </xf>
    <xf numFmtId="0" fontId="3" fillId="0" borderId="1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 shrinkToFit="1"/>
    </xf>
    <xf numFmtId="0" fontId="10" fillId="0" borderId="16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 shrinkToFit="1"/>
    </xf>
    <xf numFmtId="166" fontId="19" fillId="0" borderId="5" xfId="0" applyNumberFormat="1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 vertical="top" wrapText="1"/>
    </xf>
    <xf numFmtId="164" fontId="10" fillId="0" borderId="5" xfId="0" applyNumberFormat="1" applyFont="1" applyFill="1" applyBorder="1" applyAlignment="1">
      <alignment vertical="center" wrapText="1"/>
    </xf>
    <xf numFmtId="164" fontId="10" fillId="0" borderId="5" xfId="0" applyNumberFormat="1" applyFont="1" applyFill="1" applyBorder="1" applyAlignment="1">
      <alignment wrapText="1"/>
    </xf>
    <xf numFmtId="164" fontId="10" fillId="0" borderId="5" xfId="0" applyNumberFormat="1" applyFont="1" applyFill="1" applyBorder="1" applyAlignment="1"/>
    <xf numFmtId="164" fontId="12" fillId="0" borderId="5" xfId="0" applyNumberFormat="1" applyFont="1" applyFill="1" applyBorder="1" applyAlignment="1"/>
    <xf numFmtId="0" fontId="10" fillId="3" borderId="5" xfId="0" applyFont="1" applyFill="1" applyBorder="1" applyAlignment="1">
      <alignment horizontal="left" vertical="top" wrapText="1"/>
    </xf>
    <xf numFmtId="164" fontId="10" fillId="3" borderId="5" xfId="0" applyNumberFormat="1" applyFont="1" applyFill="1" applyBorder="1" applyAlignment="1">
      <alignment wrapText="1"/>
    </xf>
    <xf numFmtId="164" fontId="10" fillId="3" borderId="5" xfId="0" applyNumberFormat="1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left" vertical="top" wrapText="1"/>
    </xf>
    <xf numFmtId="164" fontId="10" fillId="3" borderId="5" xfId="0" applyNumberFormat="1" applyFont="1" applyFill="1" applyBorder="1" applyAlignment="1"/>
    <xf numFmtId="164" fontId="3" fillId="0" borderId="5" xfId="0" applyNumberFormat="1" applyFont="1" applyFill="1" applyBorder="1" applyAlignment="1">
      <alignment wrapText="1"/>
    </xf>
    <xf numFmtId="164" fontId="3" fillId="3" borderId="5" xfId="0" applyNumberFormat="1" applyFont="1" applyFill="1" applyBorder="1" applyAlignment="1">
      <alignment wrapText="1"/>
    </xf>
    <xf numFmtId="164" fontId="10" fillId="0" borderId="5" xfId="0" applyNumberFormat="1" applyFont="1" applyFill="1" applyBorder="1" applyAlignment="1">
      <alignment horizontal="left" vertical="top" wrapText="1"/>
    </xf>
    <xf numFmtId="49" fontId="12" fillId="0" borderId="5" xfId="0" applyNumberFormat="1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horizontal="left" vertical="top"/>
    </xf>
    <xf numFmtId="165" fontId="11" fillId="0" borderId="5" xfId="0" applyNumberFormat="1" applyFont="1" applyFill="1" applyBorder="1" applyAlignment="1"/>
    <xf numFmtId="165" fontId="11" fillId="0" borderId="5" xfId="0" applyNumberFormat="1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center" wrapText="1"/>
    </xf>
    <xf numFmtId="165" fontId="11" fillId="0" borderId="5" xfId="0" applyNumberFormat="1" applyFont="1" applyFill="1" applyBorder="1" applyAlignment="1">
      <alignment vertical="distributed"/>
    </xf>
    <xf numFmtId="0" fontId="10" fillId="0" borderId="14" xfId="0" applyFont="1" applyFill="1" applyBorder="1" applyAlignment="1">
      <alignment horizontal="left" vertical="top" wrapText="1"/>
    </xf>
    <xf numFmtId="165" fontId="12" fillId="0" borderId="5" xfId="0" applyNumberFormat="1" applyFont="1" applyFill="1" applyBorder="1" applyAlignment="1">
      <alignment vertical="center" wrapText="1"/>
    </xf>
    <xf numFmtId="0" fontId="10" fillId="0" borderId="5" xfId="5" applyFont="1" applyFill="1" applyBorder="1" applyAlignment="1">
      <alignment horizontal="left" vertical="top" wrapText="1"/>
    </xf>
    <xf numFmtId="169" fontId="10" fillId="0" borderId="5" xfId="0" applyNumberFormat="1" applyFont="1" applyFill="1" applyBorder="1" applyAlignment="1">
      <alignment vertical="distributed"/>
    </xf>
    <xf numFmtId="165" fontId="10" fillId="0" borderId="5" xfId="0" applyNumberFormat="1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top" wrapText="1"/>
    </xf>
    <xf numFmtId="165" fontId="10" fillId="0" borderId="5" xfId="0" applyNumberFormat="1" applyFont="1" applyFill="1" applyBorder="1" applyAlignment="1">
      <alignment vertical="distributed"/>
    </xf>
    <xf numFmtId="0" fontId="10" fillId="3" borderId="14" xfId="0" applyFont="1" applyFill="1" applyBorder="1" applyAlignment="1">
      <alignment horizontal="left" vertical="top" wrapText="1"/>
    </xf>
    <xf numFmtId="165" fontId="10" fillId="3" borderId="5" xfId="0" applyNumberFormat="1" applyFont="1" applyFill="1" applyBorder="1" applyAlignment="1">
      <alignment vertical="distributed"/>
    </xf>
    <xf numFmtId="0" fontId="3" fillId="0" borderId="4" xfId="6" applyFont="1" applyFill="1" applyBorder="1" applyAlignment="1">
      <alignment horizontal="left" vertical="top" wrapText="1"/>
    </xf>
    <xf numFmtId="165" fontId="10" fillId="0" borderId="5" xfId="0" applyNumberFormat="1" applyFont="1" applyFill="1" applyBorder="1" applyAlignment="1">
      <alignment vertical="distributed" wrapText="1"/>
    </xf>
    <xf numFmtId="165" fontId="12" fillId="0" borderId="5" xfId="0" applyNumberFormat="1" applyFont="1" applyFill="1" applyBorder="1" applyAlignment="1">
      <alignment vertical="distributed" wrapText="1"/>
    </xf>
    <xf numFmtId="0" fontId="10" fillId="0" borderId="16" xfId="2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/>
    </xf>
    <xf numFmtId="1" fontId="3" fillId="0" borderId="5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top"/>
    </xf>
    <xf numFmtId="0" fontId="11" fillId="0" borderId="20" xfId="0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vertical="top"/>
    </xf>
    <xf numFmtId="0" fontId="7" fillId="0" borderId="5" xfId="0" applyFont="1" applyFill="1" applyBorder="1" applyAlignment="1">
      <alignment horizontal="left" vertical="top"/>
    </xf>
    <xf numFmtId="164" fontId="11" fillId="0" borderId="5" xfId="0" applyNumberFormat="1" applyFont="1" applyFill="1" applyBorder="1" applyAlignment="1">
      <alignment vertical="center" wrapText="1"/>
    </xf>
    <xf numFmtId="164" fontId="11" fillId="0" borderId="5" xfId="0" applyNumberFormat="1" applyFont="1" applyFill="1" applyBorder="1" applyAlignment="1">
      <alignment vertical="top" wrapText="1"/>
    </xf>
    <xf numFmtId="165" fontId="5" fillId="0" borderId="5" xfId="0" applyNumberFormat="1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164" fontId="7" fillId="0" borderId="5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horizontal="left" vertical="top" wrapText="1"/>
    </xf>
    <xf numFmtId="164" fontId="10" fillId="0" borderId="5" xfId="0" applyNumberFormat="1" applyFont="1" applyFill="1" applyBorder="1" applyAlignment="1">
      <alignment vertical="center"/>
    </xf>
    <xf numFmtId="164" fontId="10" fillId="0" borderId="4" xfId="0" applyNumberFormat="1" applyFont="1" applyFill="1" applyBorder="1" applyAlignment="1">
      <alignment vertical="top"/>
    </xf>
    <xf numFmtId="164" fontId="10" fillId="0" borderId="4" xfId="0" applyNumberFormat="1" applyFont="1" applyFill="1" applyBorder="1" applyAlignment="1">
      <alignment vertical="top"/>
    </xf>
    <xf numFmtId="165" fontId="7" fillId="0" borderId="18" xfId="0" applyNumberFormat="1" applyFont="1" applyFill="1" applyBorder="1" applyAlignment="1">
      <alignment horizontal="left" vertical="top" wrapText="1"/>
    </xf>
    <xf numFmtId="164" fontId="10" fillId="0" borderId="17" xfId="0" applyNumberFormat="1" applyFont="1" applyFill="1" applyBorder="1" applyAlignment="1">
      <alignment vertical="top"/>
    </xf>
    <xf numFmtId="165" fontId="7" fillId="0" borderId="4" xfId="0" applyNumberFormat="1" applyFont="1" applyFill="1" applyBorder="1" applyAlignment="1">
      <alignment horizontal="left" vertical="top" wrapText="1"/>
    </xf>
    <xf numFmtId="165" fontId="10" fillId="0" borderId="5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left" vertical="top" wrapText="1"/>
    </xf>
    <xf numFmtId="164" fontId="10" fillId="0" borderId="18" xfId="0" applyNumberFormat="1" applyFont="1" applyFill="1" applyBorder="1" applyAlignment="1">
      <alignment vertical="top"/>
    </xf>
    <xf numFmtId="164" fontId="10" fillId="0" borderId="5" xfId="0" applyNumberFormat="1" applyFont="1" applyFill="1" applyBorder="1" applyAlignment="1">
      <alignment vertical="top"/>
    </xf>
    <xf numFmtId="170" fontId="10" fillId="0" borderId="4" xfId="0" applyNumberFormat="1" applyFont="1" applyFill="1" applyBorder="1" applyAlignment="1">
      <alignment horizontal="left" vertical="top" wrapText="1"/>
    </xf>
    <xf numFmtId="170" fontId="10" fillId="0" borderId="17" xfId="0" applyNumberFormat="1" applyFont="1" applyFill="1" applyBorder="1" applyAlignment="1">
      <alignment horizontal="left" vertical="top" wrapText="1"/>
    </xf>
    <xf numFmtId="164" fontId="7" fillId="0" borderId="4" xfId="0" applyNumberFormat="1" applyFont="1" applyFill="1" applyBorder="1" applyAlignment="1">
      <alignment vertical="center"/>
    </xf>
    <xf numFmtId="170" fontId="10" fillId="0" borderId="18" xfId="0" applyNumberFormat="1" applyFont="1" applyFill="1" applyBorder="1" applyAlignment="1">
      <alignment horizontal="left" vertical="top" wrapText="1"/>
    </xf>
    <xf numFmtId="164" fontId="7" fillId="0" borderId="18" xfId="0" applyNumberFormat="1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 wrapText="1"/>
    </xf>
    <xf numFmtId="164" fontId="3" fillId="0" borderId="17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164" fontId="3" fillId="0" borderId="18" xfId="0" applyNumberFormat="1" applyFont="1" applyFill="1" applyBorder="1" applyAlignment="1">
      <alignment vertical="center" wrapText="1"/>
    </xf>
    <xf numFmtId="171" fontId="10" fillId="0" borderId="5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top"/>
    </xf>
    <xf numFmtId="164" fontId="3" fillId="0" borderId="4" xfId="0" applyNumberFormat="1" applyFont="1" applyFill="1" applyBorder="1" applyAlignment="1">
      <alignment vertical="top" wrapText="1"/>
    </xf>
    <xf numFmtId="164" fontId="3" fillId="0" borderId="17" xfId="0" applyNumberFormat="1" applyFont="1" applyFill="1" applyBorder="1" applyAlignment="1">
      <alignment vertical="top" wrapText="1"/>
    </xf>
    <xf numFmtId="164" fontId="3" fillId="0" borderId="18" xfId="0" applyNumberFormat="1" applyFont="1" applyFill="1" applyBorder="1" applyAlignment="1">
      <alignment vertical="top" wrapText="1"/>
    </xf>
    <xf numFmtId="164" fontId="5" fillId="0" borderId="17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top"/>
    </xf>
    <xf numFmtId="0" fontId="12" fillId="0" borderId="14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164" fontId="7" fillId="0" borderId="5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horizontal="left" vertical="top" wrapText="1"/>
    </xf>
    <xf numFmtId="164" fontId="5" fillId="0" borderId="18" xfId="0" applyNumberFormat="1" applyFont="1" applyFill="1" applyBorder="1" applyAlignment="1">
      <alignment vertical="top"/>
    </xf>
    <xf numFmtId="165" fontId="7" fillId="0" borderId="4" xfId="0" applyNumberFormat="1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left" vertical="top" wrapText="1"/>
    </xf>
    <xf numFmtId="165" fontId="7" fillId="0" borderId="17" xfId="0" applyNumberFormat="1" applyFont="1" applyFill="1" applyBorder="1" applyAlignment="1">
      <alignment vertical="top" wrapText="1"/>
    </xf>
    <xf numFmtId="165" fontId="7" fillId="0" borderId="18" xfId="0" applyNumberFormat="1" applyFont="1" applyFill="1" applyBorder="1" applyAlignment="1">
      <alignment vertical="top" wrapText="1"/>
    </xf>
    <xf numFmtId="165" fontId="7" fillId="0" borderId="5" xfId="0" applyNumberFormat="1" applyFont="1" applyFill="1" applyBorder="1" applyAlignment="1">
      <alignment vertical="top" wrapText="1"/>
    </xf>
    <xf numFmtId="164" fontId="10" fillId="0" borderId="18" xfId="0" applyNumberFormat="1" applyFont="1" applyFill="1" applyBorder="1" applyAlignment="1">
      <alignment vertical="top" wrapText="1"/>
    </xf>
    <xf numFmtId="164" fontId="12" fillId="0" borderId="17" xfId="0" applyNumberFormat="1" applyFont="1" applyFill="1" applyBorder="1" applyAlignment="1">
      <alignment vertical="top"/>
    </xf>
    <xf numFmtId="0" fontId="10" fillId="0" borderId="17" xfId="0" applyFont="1" applyFill="1" applyBorder="1" applyAlignment="1">
      <alignment horizontal="left" vertical="top" wrapText="1"/>
    </xf>
    <xf numFmtId="164" fontId="10" fillId="0" borderId="18" xfId="0" applyNumberFormat="1" applyFont="1" applyFill="1" applyBorder="1" applyAlignment="1">
      <alignment vertical="top"/>
    </xf>
    <xf numFmtId="165" fontId="7" fillId="0" borderId="18" xfId="0" applyNumberFormat="1" applyFont="1" applyFill="1" applyBorder="1" applyAlignment="1">
      <alignment horizontal="left" vertical="top"/>
    </xf>
    <xf numFmtId="0" fontId="12" fillId="0" borderId="17" xfId="0" applyFont="1" applyFill="1" applyBorder="1" applyAlignment="1">
      <alignment horizontal="left" vertical="top" wrapText="1"/>
    </xf>
    <xf numFmtId="170" fontId="10" fillId="0" borderId="18" xfId="0" applyNumberFormat="1" applyFont="1" applyFill="1" applyBorder="1" applyAlignment="1">
      <alignment horizontal="left" vertical="top" wrapText="1"/>
    </xf>
    <xf numFmtId="164" fontId="5" fillId="0" borderId="5" xfId="0" applyNumberFormat="1" applyFont="1" applyFill="1" applyBorder="1" applyAlignment="1">
      <alignment horizontal="left" vertical="top"/>
    </xf>
    <xf numFmtId="164" fontId="7" fillId="0" borderId="4" xfId="0" applyNumberFormat="1" applyFont="1" applyFill="1" applyBorder="1" applyAlignment="1">
      <alignment vertical="center"/>
    </xf>
    <xf numFmtId="164" fontId="10" fillId="0" borderId="4" xfId="0" applyNumberFormat="1" applyFont="1" applyFill="1" applyBorder="1" applyAlignment="1">
      <alignment vertical="center" shrinkToFit="1"/>
    </xf>
    <xf numFmtId="164" fontId="10" fillId="0" borderId="17" xfId="0" applyNumberFormat="1" applyFont="1" applyFill="1" applyBorder="1" applyAlignment="1">
      <alignment vertical="center" shrinkToFit="1"/>
    </xf>
    <xf numFmtId="164" fontId="10" fillId="0" borderId="18" xfId="0" applyNumberFormat="1" applyFont="1" applyFill="1" applyBorder="1" applyAlignment="1">
      <alignment vertical="center" shrinkToFit="1"/>
    </xf>
    <xf numFmtId="164" fontId="7" fillId="0" borderId="5" xfId="0" applyNumberFormat="1" applyFont="1" applyFill="1" applyBorder="1" applyAlignment="1">
      <alignment vertical="top"/>
    </xf>
    <xf numFmtId="0" fontId="3" fillId="0" borderId="18" xfId="0" applyNumberFormat="1" applyFont="1" applyFill="1" applyBorder="1" applyAlignment="1">
      <alignment horizontal="left" vertical="top" wrapText="1"/>
    </xf>
    <xf numFmtId="164" fontId="7" fillId="0" borderId="4" xfId="0" applyNumberFormat="1" applyFont="1" applyFill="1" applyBorder="1" applyAlignment="1">
      <alignment vertical="top"/>
    </xf>
    <xf numFmtId="164" fontId="7" fillId="0" borderId="4" xfId="0" applyNumberFormat="1" applyFont="1" applyFill="1" applyBorder="1" applyAlignment="1">
      <alignment vertical="top"/>
    </xf>
    <xf numFmtId="164" fontId="7" fillId="0" borderId="17" xfId="0" applyNumberFormat="1" applyFont="1" applyFill="1" applyBorder="1" applyAlignment="1">
      <alignment vertical="top"/>
    </xf>
    <xf numFmtId="164" fontId="7" fillId="0" borderId="18" xfId="0" applyNumberFormat="1" applyFont="1" applyFill="1" applyBorder="1" applyAlignment="1">
      <alignment vertical="top"/>
    </xf>
    <xf numFmtId="164" fontId="7" fillId="0" borderId="5" xfId="0" applyNumberFormat="1" applyFont="1" applyFill="1" applyBorder="1" applyAlignment="1">
      <alignment vertical="top"/>
    </xf>
    <xf numFmtId="164" fontId="7" fillId="0" borderId="18" xfId="0" applyNumberFormat="1" applyFont="1" applyFill="1" applyBorder="1" applyAlignment="1">
      <alignment vertical="top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165" fontId="5" fillId="0" borderId="4" xfId="0" applyNumberFormat="1" applyFont="1" applyFill="1" applyBorder="1" applyAlignment="1">
      <alignment horizontal="left" vertical="top" wrapText="1"/>
    </xf>
    <xf numFmtId="164" fontId="5" fillId="0" borderId="4" xfId="0" applyNumberFormat="1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vertical="top"/>
    </xf>
    <xf numFmtId="165" fontId="5" fillId="0" borderId="4" xfId="0" applyNumberFormat="1" applyFont="1" applyFill="1" applyBorder="1" applyAlignment="1">
      <alignment horizontal="left" vertical="top"/>
    </xf>
    <xf numFmtId="0" fontId="12" fillId="0" borderId="4" xfId="0" applyFont="1" applyFill="1" applyBorder="1" applyAlignment="1">
      <alignment horizontal="left" vertical="top" wrapText="1"/>
    </xf>
    <xf numFmtId="170" fontId="10" fillId="0" borderId="5" xfId="0" applyNumberFormat="1" applyFont="1" applyFill="1" applyBorder="1" applyAlignment="1">
      <alignment horizontal="left" vertical="top" wrapText="1"/>
    </xf>
    <xf numFmtId="170" fontId="10" fillId="0" borderId="17" xfId="0" applyNumberFormat="1" applyFont="1" applyFill="1" applyBorder="1" applyAlignment="1">
      <alignment horizontal="left" vertical="top" wrapText="1"/>
    </xf>
    <xf numFmtId="165" fontId="7" fillId="0" borderId="4" xfId="0" applyNumberFormat="1" applyFont="1" applyFill="1" applyBorder="1" applyAlignment="1">
      <alignment vertical="top"/>
    </xf>
    <xf numFmtId="165" fontId="7" fillId="0" borderId="17" xfId="0" applyNumberFormat="1" applyFont="1" applyFill="1" applyBorder="1" applyAlignment="1">
      <alignment vertical="top"/>
    </xf>
    <xf numFmtId="165" fontId="7" fillId="0" borderId="18" xfId="0" applyNumberFormat="1" applyFont="1" applyFill="1" applyBorder="1" applyAlignment="1">
      <alignment vertical="top"/>
    </xf>
    <xf numFmtId="0" fontId="7" fillId="0" borderId="17" xfId="0" applyFont="1" applyFill="1" applyBorder="1" applyAlignment="1">
      <alignment horizontal="left" vertical="top" wrapText="1"/>
    </xf>
    <xf numFmtId="164" fontId="7" fillId="0" borderId="4" xfId="0" applyNumberFormat="1" applyFont="1" applyFill="1" applyBorder="1" applyAlignment="1">
      <alignment vertical="center" wrapText="1"/>
    </xf>
    <xf numFmtId="164" fontId="7" fillId="0" borderId="17" xfId="0" applyNumberFormat="1" applyFont="1" applyFill="1" applyBorder="1" applyAlignment="1">
      <alignment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vertical="center" wrapText="1"/>
    </xf>
    <xf numFmtId="172" fontId="11" fillId="0" borderId="5" xfId="0" applyNumberFormat="1" applyFont="1" applyFill="1" applyBorder="1" applyAlignment="1"/>
    <xf numFmtId="0" fontId="12" fillId="0" borderId="5" xfId="0" applyFont="1" applyFill="1" applyBorder="1" applyAlignment="1">
      <alignment horizontal="left" vertical="top" wrapText="1"/>
    </xf>
    <xf numFmtId="164" fontId="12" fillId="0" borderId="5" xfId="0" applyNumberFormat="1" applyFont="1" applyFill="1" applyBorder="1" applyAlignment="1">
      <alignment vertical="center"/>
    </xf>
    <xf numFmtId="164" fontId="12" fillId="0" borderId="18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vertical="center"/>
    </xf>
    <xf numFmtId="4" fontId="10" fillId="0" borderId="18" xfId="0" applyNumberFormat="1" applyFont="1" applyFill="1" applyBorder="1" applyAlignment="1">
      <alignment horizontal="left" vertical="top" wrapText="1"/>
    </xf>
    <xf numFmtId="165" fontId="3" fillId="0" borderId="5" xfId="0" applyNumberFormat="1" applyFont="1" applyFill="1" applyBorder="1" applyAlignment="1">
      <alignment vertical="top"/>
    </xf>
    <xf numFmtId="165" fontId="3" fillId="0" borderId="4" xfId="0" applyNumberFormat="1" applyFont="1" applyFill="1" applyBorder="1" applyAlignment="1">
      <alignment vertical="top"/>
    </xf>
    <xf numFmtId="165" fontId="3" fillId="0" borderId="17" xfId="0" applyNumberFormat="1" applyFont="1" applyFill="1" applyBorder="1" applyAlignment="1">
      <alignment vertical="top"/>
    </xf>
    <xf numFmtId="165" fontId="3" fillId="0" borderId="18" xfId="0" applyNumberFormat="1" applyFont="1" applyFill="1" applyBorder="1" applyAlignment="1">
      <alignment vertical="top"/>
    </xf>
    <xf numFmtId="164" fontId="12" fillId="0" borderId="4" xfId="0" applyNumberFormat="1" applyFont="1" applyFill="1" applyBorder="1" applyAlignment="1">
      <alignment vertical="center"/>
    </xf>
    <xf numFmtId="165" fontId="3" fillId="0" borderId="4" xfId="0" applyNumberFormat="1" applyFont="1" applyFill="1" applyBorder="1" applyAlignment="1">
      <alignment vertical="center"/>
    </xf>
    <xf numFmtId="165" fontId="3" fillId="0" borderId="18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5" fontId="3" fillId="0" borderId="4" xfId="0" applyNumberFormat="1" applyFont="1" applyFill="1" applyBorder="1" applyAlignment="1">
      <alignment vertical="top"/>
    </xf>
    <xf numFmtId="165" fontId="3" fillId="0" borderId="17" xfId="0" applyNumberFormat="1" applyFont="1" applyFill="1" applyBorder="1" applyAlignment="1">
      <alignment vertical="top"/>
    </xf>
    <xf numFmtId="165" fontId="3" fillId="0" borderId="18" xfId="0" applyNumberFormat="1" applyFont="1" applyFill="1" applyBorder="1" applyAlignment="1">
      <alignment vertical="top"/>
    </xf>
    <xf numFmtId="4" fontId="12" fillId="0" borderId="5" xfId="0" applyNumberFormat="1" applyFont="1" applyFill="1" applyBorder="1" applyAlignment="1">
      <alignment wrapText="1"/>
    </xf>
    <xf numFmtId="165" fontId="3" fillId="0" borderId="17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wrapText="1"/>
    </xf>
    <xf numFmtId="164" fontId="3" fillId="0" borderId="18" xfId="0" applyNumberFormat="1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vertical="top"/>
    </xf>
    <xf numFmtId="173" fontId="3" fillId="0" borderId="4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vertical="center"/>
    </xf>
    <xf numFmtId="173" fontId="3" fillId="0" borderId="18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left" vertical="top" wrapText="1"/>
    </xf>
    <xf numFmtId="49" fontId="7" fillId="0" borderId="19" xfId="0" applyNumberFormat="1" applyFont="1" applyFill="1" applyBorder="1" applyAlignment="1">
      <alignment horizontal="left" vertical="top" wrapText="1"/>
    </xf>
    <xf numFmtId="49" fontId="7" fillId="0" borderId="22" xfId="0" applyNumberFormat="1" applyFont="1" applyFill="1" applyBorder="1" applyAlignment="1">
      <alignment horizontal="left" vertical="top" wrapText="1"/>
    </xf>
    <xf numFmtId="49" fontId="7" fillId="0" borderId="23" xfId="0" applyNumberFormat="1" applyFont="1" applyFill="1" applyBorder="1" applyAlignment="1">
      <alignment horizontal="left" vertical="top" wrapText="1"/>
    </xf>
    <xf numFmtId="49" fontId="7" fillId="0" borderId="4" xfId="0" applyNumberFormat="1" applyFont="1" applyFill="1" applyBorder="1" applyAlignment="1">
      <alignment horizontal="left" vertical="top" wrapText="1"/>
    </xf>
    <xf numFmtId="49" fontId="7" fillId="0" borderId="17" xfId="0" applyNumberFormat="1" applyFont="1" applyFill="1" applyBorder="1" applyAlignment="1">
      <alignment horizontal="left" vertical="top" wrapText="1"/>
    </xf>
    <xf numFmtId="49" fontId="7" fillId="0" borderId="18" xfId="0" applyNumberFormat="1" applyFont="1" applyFill="1" applyBorder="1" applyAlignment="1">
      <alignment horizontal="left" vertical="top" wrapText="1"/>
    </xf>
    <xf numFmtId="165" fontId="11" fillId="0" borderId="5" xfId="0" applyNumberFormat="1" applyFont="1" applyFill="1" applyBorder="1" applyAlignment="1">
      <alignment vertical="top"/>
    </xf>
    <xf numFmtId="0" fontId="11" fillId="0" borderId="14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165" fontId="10" fillId="0" borderId="4" xfId="0" applyNumberFormat="1" applyFont="1" applyFill="1" applyBorder="1" applyAlignment="1">
      <alignment vertical="top" wrapText="1"/>
    </xf>
    <xf numFmtId="4" fontId="10" fillId="0" borderId="4" xfId="0" applyNumberFormat="1" applyFont="1" applyFill="1" applyBorder="1" applyAlignment="1">
      <alignment horizontal="left" vertical="top" wrapText="1"/>
    </xf>
    <xf numFmtId="165" fontId="10" fillId="0" borderId="17" xfId="0" applyNumberFormat="1" applyFont="1" applyFill="1" applyBorder="1" applyAlignment="1">
      <alignment vertical="top" wrapText="1"/>
    </xf>
    <xf numFmtId="4" fontId="10" fillId="0" borderId="17" xfId="0" applyNumberFormat="1" applyFont="1" applyFill="1" applyBorder="1" applyAlignment="1">
      <alignment horizontal="left" vertical="top" wrapText="1"/>
    </xf>
    <xf numFmtId="165" fontId="10" fillId="0" borderId="18" xfId="0" applyNumberFormat="1" applyFont="1" applyFill="1" applyBorder="1" applyAlignment="1">
      <alignment vertical="top" wrapText="1"/>
    </xf>
    <xf numFmtId="165" fontId="11" fillId="0" borderId="18" xfId="0" applyNumberFormat="1" applyFont="1" applyFill="1" applyBorder="1" applyAlignment="1">
      <alignment vertical="top"/>
    </xf>
    <xf numFmtId="0" fontId="10" fillId="0" borderId="5" xfId="0" applyFont="1" applyFill="1" applyBorder="1" applyAlignment="1">
      <alignment vertical="center" wrapText="1"/>
    </xf>
    <xf numFmtId="165" fontId="10" fillId="0" borderId="5" xfId="0" applyNumberFormat="1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left" vertical="top" wrapText="1"/>
    </xf>
    <xf numFmtId="164" fontId="5" fillId="0" borderId="25" xfId="0" applyNumberFormat="1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left" vertical="top" wrapText="1"/>
    </xf>
    <xf numFmtId="49" fontId="7" fillId="0" borderId="26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left" vertical="top" wrapText="1"/>
    </xf>
    <xf numFmtId="165" fontId="7" fillId="0" borderId="5" xfId="0" applyNumberFormat="1" applyFont="1" applyFill="1" applyBorder="1" applyAlignment="1">
      <alignment vertical="center"/>
    </xf>
    <xf numFmtId="2" fontId="7" fillId="0" borderId="5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top" wrapText="1"/>
    </xf>
    <xf numFmtId="164" fontId="7" fillId="0" borderId="5" xfId="0" applyNumberFormat="1" applyFont="1" applyFill="1" applyBorder="1" applyAlignment="1">
      <alignment vertical="center" wrapText="1"/>
    </xf>
    <xf numFmtId="165" fontId="7" fillId="0" borderId="5" xfId="0" applyNumberFormat="1" applyFont="1" applyFill="1" applyBorder="1" applyAlignment="1">
      <alignment vertical="center" wrapText="1"/>
    </xf>
    <xf numFmtId="165" fontId="7" fillId="0" borderId="5" xfId="0" applyNumberFormat="1" applyFont="1" applyFill="1" applyBorder="1" applyAlignment="1">
      <alignment vertical="center" wrapText="1"/>
    </xf>
    <xf numFmtId="164" fontId="10" fillId="0" borderId="5" xfId="0" applyNumberFormat="1" applyFont="1" applyFill="1" applyBorder="1" applyAlignment="1">
      <alignment vertical="center" wrapText="1"/>
    </xf>
    <xf numFmtId="164" fontId="7" fillId="0" borderId="5" xfId="0" applyNumberFormat="1" applyFont="1" applyFill="1" applyBorder="1" applyAlignment="1">
      <alignment wrapText="1"/>
    </xf>
    <xf numFmtId="164" fontId="7" fillId="3" borderId="5" xfId="0" applyNumberFormat="1" applyFont="1" applyFill="1" applyBorder="1" applyAlignment="1">
      <alignment vertical="center" wrapText="1"/>
    </xf>
    <xf numFmtId="164" fontId="22" fillId="3" borderId="5" xfId="0" applyNumberFormat="1" applyFont="1" applyFill="1" applyBorder="1" applyAlignment="1">
      <alignment vertical="center" wrapText="1"/>
    </xf>
    <xf numFmtId="164" fontId="7" fillId="0" borderId="5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wrapText="1"/>
    </xf>
    <xf numFmtId="165" fontId="11" fillId="0" borderId="27" xfId="0" applyNumberFormat="1" applyFont="1" applyFill="1" applyBorder="1" applyAlignment="1">
      <alignment horizontal="left" vertical="top"/>
    </xf>
    <xf numFmtId="165" fontId="11" fillId="0" borderId="28" xfId="0" applyNumberFormat="1" applyFont="1" applyFill="1" applyBorder="1" applyAlignment="1">
      <alignment vertical="center"/>
    </xf>
    <xf numFmtId="165" fontId="11" fillId="0" borderId="28" xfId="0" applyNumberFormat="1" applyFont="1" applyFill="1" applyBorder="1" applyAlignment="1">
      <alignment horizontal="left" vertical="top"/>
    </xf>
    <xf numFmtId="0" fontId="11" fillId="0" borderId="28" xfId="0" applyFont="1" applyFill="1" applyBorder="1" applyAlignment="1">
      <alignment horizontal="left" vertical="top"/>
    </xf>
    <xf numFmtId="0" fontId="11" fillId="0" borderId="29" xfId="0" applyFont="1" applyFill="1" applyBorder="1" applyAlignment="1">
      <alignment horizontal="left" vertical="top"/>
    </xf>
    <xf numFmtId="165" fontId="3" fillId="0" borderId="30" xfId="0" applyNumberFormat="1" applyFont="1" applyFill="1" applyBorder="1" applyAlignment="1">
      <alignment horizontal="left" vertical="top"/>
    </xf>
    <xf numFmtId="165" fontId="3" fillId="0" borderId="5" xfId="0" applyNumberFormat="1" applyFont="1" applyFill="1" applyBorder="1" applyAlignment="1">
      <alignment horizontal="left" vertical="top"/>
    </xf>
    <xf numFmtId="0" fontId="3" fillId="0" borderId="31" xfId="0" applyFont="1" applyFill="1" applyBorder="1" applyAlignment="1">
      <alignment horizontal="left" vertical="top" wrapText="1"/>
    </xf>
    <xf numFmtId="165" fontId="3" fillId="0" borderId="30" xfId="0" applyNumberFormat="1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center" wrapText="1"/>
    </xf>
    <xf numFmtId="164" fontId="7" fillId="0" borderId="5" xfId="0" applyNumberFormat="1" applyFont="1" applyFill="1" applyBorder="1" applyAlignment="1"/>
    <xf numFmtId="0" fontId="7" fillId="0" borderId="5" xfId="0" applyFont="1" applyFill="1" applyBorder="1" applyAlignment="1">
      <alignment horizontal="center" wrapText="1"/>
    </xf>
    <xf numFmtId="164" fontId="5" fillId="0" borderId="5" xfId="0" applyNumberFormat="1" applyFont="1" applyFill="1" applyBorder="1" applyAlignment="1"/>
    <xf numFmtId="0" fontId="11" fillId="0" borderId="5" xfId="0" applyFont="1" applyFill="1" applyBorder="1" applyAlignment="1">
      <alignment horizontal="center"/>
    </xf>
    <xf numFmtId="165" fontId="8" fillId="0" borderId="5" xfId="0" applyNumberFormat="1" applyFont="1" applyFill="1" applyBorder="1" applyAlignment="1">
      <alignment vertical="center"/>
    </xf>
    <xf numFmtId="165" fontId="10" fillId="0" borderId="5" xfId="0" applyNumberFormat="1" applyFont="1" applyFill="1" applyBorder="1" applyAlignment="1">
      <alignment horizontal="left" vertical="top" wrapText="1"/>
    </xf>
    <xf numFmtId="165" fontId="6" fillId="0" borderId="5" xfId="0" applyNumberFormat="1" applyFont="1" applyFill="1" applyBorder="1" applyAlignment="1">
      <alignment horizontal="left" vertical="top" wrapText="1"/>
    </xf>
    <xf numFmtId="165" fontId="11" fillId="0" borderId="5" xfId="0" applyNumberFormat="1" applyFont="1" applyFill="1" applyBorder="1" applyAlignment="1">
      <alignment vertical="center" wrapText="1"/>
    </xf>
    <xf numFmtId="165" fontId="3" fillId="0" borderId="5" xfId="0" applyNumberFormat="1" applyFont="1" applyFill="1" applyBorder="1" applyAlignment="1">
      <alignment wrapText="1"/>
    </xf>
    <xf numFmtId="165" fontId="3" fillId="0" borderId="4" xfId="0" applyNumberFormat="1" applyFont="1" applyFill="1" applyBorder="1" applyAlignment="1">
      <alignment vertical="center" wrapText="1"/>
    </xf>
    <xf numFmtId="165" fontId="3" fillId="0" borderId="17" xfId="0" applyNumberFormat="1" applyFont="1" applyFill="1" applyBorder="1" applyAlignment="1">
      <alignment vertical="center" wrapText="1"/>
    </xf>
    <xf numFmtId="165" fontId="3" fillId="0" borderId="18" xfId="0" applyNumberFormat="1" applyFont="1" applyFill="1" applyBorder="1" applyAlignment="1">
      <alignment vertical="center" wrapText="1"/>
    </xf>
    <xf numFmtId="165" fontId="3" fillId="0" borderId="5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 wrapText="1"/>
    </xf>
    <xf numFmtId="3" fontId="3" fillId="0" borderId="5" xfId="0" applyNumberFormat="1" applyFont="1" applyFill="1" applyBorder="1" applyAlignment="1">
      <alignment horizontal="left" vertical="top" wrapText="1"/>
    </xf>
    <xf numFmtId="3" fontId="3" fillId="0" borderId="5" xfId="0" applyNumberFormat="1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164" fontId="3" fillId="3" borderId="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</cellXfs>
  <cellStyles count="10">
    <cellStyle name="Звичайний_Додаток _ 3 зм_ни 4575 2" xfId="3"/>
    <cellStyle name="Обычный" xfId="0" builtinId="0"/>
    <cellStyle name="Обычный 2" xfId="2"/>
    <cellStyle name="Обычный 2 4" xfId="7"/>
    <cellStyle name="Обычный 3" xfId="6"/>
    <cellStyle name="Обычный 4" xfId="4"/>
    <cellStyle name="Обычный 6" xfId="8"/>
    <cellStyle name="Обычный_IvFrankivsk_2006-05-29 PPB budget final" xfId="5"/>
    <cellStyle name="Стиль 1" xfId="9"/>
    <cellStyle name="Хороший" xfId="1" builtinId="26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36"/>
  <sheetViews>
    <sheetView tabSelected="1" view="pageBreakPreview" zoomScale="120" zoomScaleNormal="90" zoomScaleSheetLayoutView="120" workbookViewId="0">
      <pane ySplit="3" topLeftCell="A4" activePane="bottomLeft" state="frozen"/>
      <selection pane="bottomLeft" activeCell="A2" sqref="A2:G2"/>
    </sheetView>
  </sheetViews>
  <sheetFormatPr defaultColWidth="9.140625" defaultRowHeight="15.75"/>
  <cols>
    <col min="1" max="1" width="45.28515625" style="5" customWidth="1"/>
    <col min="2" max="2" width="44.42578125" style="5" customWidth="1"/>
    <col min="3" max="3" width="38.28515625" style="5" customWidth="1"/>
    <col min="4" max="4" width="16.28515625" style="4" customWidth="1"/>
    <col min="5" max="5" width="17.28515625" style="4" customWidth="1"/>
    <col min="6" max="6" width="16.28515625" style="4" customWidth="1"/>
    <col min="7" max="7" width="34.85546875" style="3" customWidth="1"/>
    <col min="8" max="8" width="9.140625" style="1"/>
    <col min="9" max="11" width="9.140625" style="2"/>
    <col min="12" max="12" width="12.5703125" style="1" customWidth="1"/>
    <col min="13" max="13" width="11.42578125" style="1" customWidth="1"/>
    <col min="14" max="14" width="11" style="1" customWidth="1"/>
    <col min="15" max="16384" width="9.140625" style="1"/>
  </cols>
  <sheetData>
    <row r="2" spans="1:11" ht="45" customHeight="1">
      <c r="A2" s="374" t="s">
        <v>1862</v>
      </c>
      <c r="B2" s="374"/>
      <c r="C2" s="374"/>
      <c r="D2" s="374"/>
      <c r="E2" s="374"/>
      <c r="F2" s="374"/>
      <c r="G2" s="374"/>
    </row>
    <row r="3" spans="1:11" s="370" customFormat="1">
      <c r="A3" s="323" t="s">
        <v>1861</v>
      </c>
      <c r="B3" s="323" t="s">
        <v>1860</v>
      </c>
      <c r="C3" s="323" t="s">
        <v>1859</v>
      </c>
      <c r="D3" s="373" t="s">
        <v>1858</v>
      </c>
      <c r="E3" s="373"/>
      <c r="F3" s="373"/>
      <c r="G3" s="323" t="s">
        <v>1857</v>
      </c>
      <c r="I3" s="371"/>
      <c r="J3" s="371"/>
      <c r="K3" s="371"/>
    </row>
    <row r="4" spans="1:11" s="370" customFormat="1" ht="78.75">
      <c r="A4" s="323"/>
      <c r="B4" s="323"/>
      <c r="C4" s="323"/>
      <c r="D4" s="372" t="s">
        <v>1856</v>
      </c>
      <c r="E4" s="372" t="s">
        <v>1855</v>
      </c>
      <c r="F4" s="372" t="s">
        <v>1854</v>
      </c>
      <c r="G4" s="323"/>
      <c r="I4" s="371"/>
      <c r="J4" s="371"/>
      <c r="K4" s="371"/>
    </row>
    <row r="5" spans="1:11">
      <c r="A5" s="341" t="s">
        <v>1853</v>
      </c>
      <c r="B5" s="341"/>
      <c r="C5" s="341"/>
      <c r="D5" s="341"/>
      <c r="E5" s="341"/>
      <c r="F5" s="341"/>
      <c r="G5" s="341"/>
    </row>
    <row r="6" spans="1:11" ht="157.5">
      <c r="A6" s="61" t="s">
        <v>1852</v>
      </c>
      <c r="B6" s="61" t="s">
        <v>1848</v>
      </c>
      <c r="C6" s="61" t="s">
        <v>1851</v>
      </c>
      <c r="D6" s="280">
        <v>1210.9459999999999</v>
      </c>
      <c r="E6" s="280">
        <v>1210.9459999999999</v>
      </c>
      <c r="F6" s="280">
        <v>917.02499999999998</v>
      </c>
      <c r="G6" s="13" t="s">
        <v>1850</v>
      </c>
    </row>
    <row r="7" spans="1:11" ht="126">
      <c r="A7" s="61" t="s">
        <v>1849</v>
      </c>
      <c r="B7" s="61" t="s">
        <v>1848</v>
      </c>
      <c r="C7" s="61" t="s">
        <v>1847</v>
      </c>
      <c r="D7" s="280">
        <v>430.791</v>
      </c>
      <c r="E7" s="280">
        <v>430.791</v>
      </c>
      <c r="F7" s="280">
        <v>420</v>
      </c>
      <c r="G7" s="13" t="s">
        <v>1846</v>
      </c>
    </row>
    <row r="8" spans="1:11" ht="110.25">
      <c r="A8" s="61" t="s">
        <v>1843</v>
      </c>
      <c r="B8" s="125" t="s">
        <v>1842</v>
      </c>
      <c r="C8" s="61" t="s">
        <v>1845</v>
      </c>
      <c r="D8" s="280">
        <v>2735.4630000000002</v>
      </c>
      <c r="E8" s="280">
        <v>601</v>
      </c>
      <c r="F8" s="280">
        <v>600.6</v>
      </c>
      <c r="G8" s="13" t="s">
        <v>1844</v>
      </c>
    </row>
    <row r="9" spans="1:11" ht="110.25">
      <c r="A9" s="61" t="s">
        <v>1843</v>
      </c>
      <c r="B9" s="125" t="s">
        <v>1842</v>
      </c>
      <c r="C9" s="61" t="s">
        <v>1841</v>
      </c>
      <c r="D9" s="280">
        <v>225</v>
      </c>
      <c r="E9" s="280">
        <v>225</v>
      </c>
      <c r="F9" s="280">
        <v>224.88399999999999</v>
      </c>
      <c r="G9" s="13" t="s">
        <v>1840</v>
      </c>
    </row>
    <row r="10" spans="1:11" ht="126">
      <c r="A10" s="61" t="s">
        <v>1839</v>
      </c>
      <c r="B10" s="61" t="s">
        <v>1838</v>
      </c>
      <c r="C10" s="124" t="s">
        <v>1837</v>
      </c>
      <c r="D10" s="280">
        <v>813.53499999999997</v>
      </c>
      <c r="E10" s="280">
        <v>244.06100000000001</v>
      </c>
      <c r="F10" s="369">
        <v>0</v>
      </c>
      <c r="G10" s="368"/>
    </row>
    <row r="11" spans="1:11">
      <c r="A11" s="61"/>
      <c r="B11" s="164" t="s">
        <v>1</v>
      </c>
      <c r="C11" s="160" t="s">
        <v>0</v>
      </c>
      <c r="D11" s="275">
        <f>SUM(D6:D10)</f>
        <v>5415.7349999999997</v>
      </c>
      <c r="E11" s="275">
        <f>SUM(E6:E10)</f>
        <v>2711.7980000000002</v>
      </c>
      <c r="F11" s="275">
        <f>SUM(F6:F10)</f>
        <v>2162.509</v>
      </c>
      <c r="G11" s="160" t="s">
        <v>0</v>
      </c>
    </row>
    <row r="14" spans="1:11">
      <c r="A14" s="355" t="s">
        <v>1836</v>
      </c>
      <c r="B14" s="355"/>
      <c r="C14" s="355"/>
      <c r="D14" s="355"/>
      <c r="E14" s="355"/>
      <c r="F14" s="355"/>
      <c r="G14" s="355"/>
    </row>
    <row r="15" spans="1:11" ht="15.6" customHeight="1">
      <c r="A15" s="365" t="s">
        <v>1835</v>
      </c>
      <c r="B15" s="365" t="s">
        <v>1834</v>
      </c>
      <c r="C15" s="51" t="s">
        <v>1833</v>
      </c>
      <c r="D15" s="364">
        <v>2894.1559999999999</v>
      </c>
      <c r="E15" s="364">
        <v>2894.1559999999999</v>
      </c>
      <c r="F15" s="360">
        <f>61.762+2698.815</f>
        <v>2760.5770000000002</v>
      </c>
      <c r="G15" s="51" t="s">
        <v>1832</v>
      </c>
    </row>
    <row r="16" spans="1:11" ht="36.6" customHeight="1">
      <c r="A16" s="365"/>
      <c r="B16" s="365"/>
      <c r="C16" s="51" t="s">
        <v>1831</v>
      </c>
      <c r="D16" s="364"/>
      <c r="E16" s="364"/>
      <c r="F16" s="360">
        <v>57.743000000000002</v>
      </c>
      <c r="G16" s="51" t="s">
        <v>1830</v>
      </c>
    </row>
    <row r="17" spans="1:7" s="1" customFormat="1" ht="46.9" customHeight="1">
      <c r="A17" s="365"/>
      <c r="B17" s="365"/>
      <c r="C17" s="81" t="s">
        <v>1403</v>
      </c>
      <c r="D17" s="364"/>
      <c r="E17" s="364"/>
      <c r="F17" s="360">
        <v>10.8</v>
      </c>
      <c r="G17" s="51" t="s">
        <v>1829</v>
      </c>
    </row>
    <row r="18" spans="1:7" s="1" customFormat="1" ht="63">
      <c r="A18" s="51" t="s">
        <v>1828</v>
      </c>
      <c r="B18" s="51" t="s">
        <v>1827</v>
      </c>
      <c r="C18" s="81" t="s">
        <v>1826</v>
      </c>
      <c r="D18" s="36">
        <f>1021.885+1033.132</f>
        <v>2055.0169999999998</v>
      </c>
      <c r="E18" s="36">
        <v>1021.885</v>
      </c>
      <c r="F18" s="360">
        <v>32.454500000000003</v>
      </c>
      <c r="G18" s="51" t="s">
        <v>1696</v>
      </c>
    </row>
    <row r="19" spans="1:7" s="1" customFormat="1" ht="31.5">
      <c r="A19" s="365" t="s">
        <v>1819</v>
      </c>
      <c r="B19" s="367" t="s">
        <v>1825</v>
      </c>
      <c r="C19" s="51" t="s">
        <v>1824</v>
      </c>
      <c r="D19" s="364">
        <v>800</v>
      </c>
      <c r="E19" s="364">
        <v>800</v>
      </c>
      <c r="F19" s="360">
        <v>24.058</v>
      </c>
      <c r="G19" s="51" t="s">
        <v>1823</v>
      </c>
    </row>
    <row r="20" spans="1:7" s="1" customFormat="1">
      <c r="A20" s="365"/>
      <c r="B20" s="367"/>
      <c r="C20" s="51" t="s">
        <v>1804</v>
      </c>
      <c r="D20" s="364"/>
      <c r="E20" s="364"/>
      <c r="F20" s="360">
        <v>7.7465999999999999</v>
      </c>
      <c r="G20" s="51" t="s">
        <v>1822</v>
      </c>
    </row>
    <row r="21" spans="1:7" s="1" customFormat="1" ht="63">
      <c r="A21" s="365"/>
      <c r="B21" s="367"/>
      <c r="C21" s="51" t="s">
        <v>1821</v>
      </c>
      <c r="D21" s="364"/>
      <c r="E21" s="364"/>
      <c r="F21" s="360">
        <f>184.15924-0.75</f>
        <v>183.40924000000001</v>
      </c>
      <c r="G21" s="51" t="s">
        <v>1820</v>
      </c>
    </row>
    <row r="22" spans="1:7" s="1" customFormat="1">
      <c r="A22" s="365"/>
      <c r="B22" s="367"/>
      <c r="C22" s="51"/>
      <c r="D22" s="364"/>
      <c r="E22" s="364"/>
      <c r="F22" s="360"/>
      <c r="G22" s="51"/>
    </row>
    <row r="23" spans="1:7" s="1" customFormat="1" ht="47.25">
      <c r="A23" s="51" t="s">
        <v>1819</v>
      </c>
      <c r="B23" s="366" t="s">
        <v>1818</v>
      </c>
      <c r="C23" s="51"/>
      <c r="D23" s="36">
        <v>935.84900000000005</v>
      </c>
      <c r="E23" s="36"/>
      <c r="F23" s="360"/>
      <c r="G23" s="51"/>
    </row>
    <row r="24" spans="1:7" s="1" customFormat="1">
      <c r="A24" s="365" t="s">
        <v>1817</v>
      </c>
      <c r="B24" s="365" t="s">
        <v>1816</v>
      </c>
      <c r="C24" s="51" t="s">
        <v>1815</v>
      </c>
      <c r="D24" s="364">
        <f>500+156.21</f>
        <v>656.21</v>
      </c>
      <c r="E24" s="364">
        <v>656.21</v>
      </c>
      <c r="F24" s="360">
        <f>18.343+2.7</f>
        <v>21.042999999999999</v>
      </c>
      <c r="G24" s="51" t="s">
        <v>1814</v>
      </c>
    </row>
    <row r="25" spans="1:7" s="1" customFormat="1" ht="78.75">
      <c r="A25" s="365"/>
      <c r="B25" s="365"/>
      <c r="C25" s="51" t="s">
        <v>1813</v>
      </c>
      <c r="D25" s="364"/>
      <c r="E25" s="364"/>
      <c r="F25" s="360">
        <v>602.70000000000005</v>
      </c>
      <c r="G25" s="51" t="s">
        <v>1812</v>
      </c>
    </row>
    <row r="26" spans="1:7" s="1" customFormat="1" ht="31.5">
      <c r="A26" s="365"/>
      <c r="B26" s="365"/>
      <c r="C26" s="51" t="s">
        <v>1811</v>
      </c>
      <c r="D26" s="364"/>
      <c r="E26" s="364"/>
      <c r="F26" s="360">
        <v>12.567</v>
      </c>
      <c r="G26" s="51" t="s">
        <v>1810</v>
      </c>
    </row>
    <row r="27" spans="1:7" s="1" customFormat="1">
      <c r="A27" s="365"/>
      <c r="B27" s="365"/>
      <c r="C27" s="51" t="s">
        <v>1809</v>
      </c>
      <c r="D27" s="364"/>
      <c r="E27" s="364"/>
      <c r="F27" s="360">
        <v>4.008</v>
      </c>
      <c r="G27" s="51" t="s">
        <v>1808</v>
      </c>
    </row>
    <row r="28" spans="1:7" s="1" customFormat="1">
      <c r="A28" s="66" t="s">
        <v>1807</v>
      </c>
      <c r="B28" s="66" t="s">
        <v>1806</v>
      </c>
      <c r="C28" s="81" t="s">
        <v>1805</v>
      </c>
      <c r="D28" s="363">
        <v>1565.318</v>
      </c>
      <c r="E28" s="363">
        <v>1222.318</v>
      </c>
      <c r="F28" s="36">
        <f>201.127+239.06339</f>
        <v>440.19038999999998</v>
      </c>
      <c r="G28" s="51" t="s">
        <v>1801</v>
      </c>
    </row>
    <row r="29" spans="1:7" s="1" customFormat="1" ht="31.5">
      <c r="A29" s="91"/>
      <c r="B29" s="91"/>
      <c r="C29" s="81" t="s">
        <v>1804</v>
      </c>
      <c r="D29" s="362"/>
      <c r="E29" s="362"/>
      <c r="F29" s="36">
        <v>10.8924</v>
      </c>
      <c r="G29" s="51" t="s">
        <v>1803</v>
      </c>
    </row>
    <row r="30" spans="1:7" s="1" customFormat="1" ht="31.5">
      <c r="A30" s="64"/>
      <c r="B30" s="64"/>
      <c r="C30" s="81" t="s">
        <v>1802</v>
      </c>
      <c r="D30" s="361"/>
      <c r="E30" s="361"/>
      <c r="F30" s="36">
        <v>19.440000000000001</v>
      </c>
      <c r="G30" s="51" t="s">
        <v>1801</v>
      </c>
    </row>
    <row r="31" spans="1:7" s="1" customFormat="1" ht="78.75">
      <c r="A31" s="51" t="s">
        <v>1800</v>
      </c>
      <c r="B31" s="51" t="s">
        <v>1799</v>
      </c>
      <c r="C31" s="81"/>
      <c r="D31" s="36">
        <v>380</v>
      </c>
      <c r="E31" s="36">
        <v>114</v>
      </c>
      <c r="F31" s="360">
        <v>0</v>
      </c>
      <c r="G31" s="51"/>
    </row>
    <row r="32" spans="1:7" s="1" customFormat="1">
      <c r="A32" s="51"/>
      <c r="B32" s="190" t="s">
        <v>1</v>
      </c>
      <c r="C32" s="172"/>
      <c r="D32" s="359">
        <f>SUM(D15:D31)</f>
        <v>9286.5499999999993</v>
      </c>
      <c r="E32" s="359">
        <f>SUM(E15:E31)</f>
        <v>6708.5690000000004</v>
      </c>
      <c r="F32" s="359">
        <f>SUM(F15:F31)</f>
        <v>4187.6291299999993</v>
      </c>
      <c r="G32" s="172"/>
    </row>
    <row r="33" spans="1:7" s="1" customFormat="1">
      <c r="A33" s="323" t="s">
        <v>1798</v>
      </c>
      <c r="B33" s="323"/>
      <c r="C33" s="323"/>
      <c r="D33" s="323"/>
      <c r="E33" s="323"/>
      <c r="F33" s="323"/>
      <c r="G33" s="323"/>
    </row>
    <row r="34" spans="1:7" s="1" customFormat="1" ht="70.150000000000006" customHeight="1">
      <c r="A34" s="48" t="s">
        <v>1797</v>
      </c>
      <c r="B34" s="48" t="s">
        <v>1796</v>
      </c>
      <c r="C34" s="358" t="s">
        <v>1795</v>
      </c>
      <c r="D34" s="30">
        <v>9.67</v>
      </c>
      <c r="E34" s="30">
        <v>9.67</v>
      </c>
      <c r="F34" s="30">
        <v>9.67</v>
      </c>
      <c r="G34" s="357" t="s">
        <v>1794</v>
      </c>
    </row>
    <row r="35" spans="1:7" s="1" customFormat="1">
      <c r="A35" s="13"/>
      <c r="B35" s="190" t="s">
        <v>1</v>
      </c>
      <c r="C35" s="189" t="s">
        <v>0</v>
      </c>
      <c r="D35" s="356">
        <v>9.67</v>
      </c>
      <c r="E35" s="356">
        <v>9.67</v>
      </c>
      <c r="F35" s="356">
        <v>9.67</v>
      </c>
      <c r="G35" s="160" t="s">
        <v>0</v>
      </c>
    </row>
    <row r="36" spans="1:7" s="1" customFormat="1" ht="27" customHeight="1">
      <c r="A36" s="323" t="s">
        <v>1793</v>
      </c>
      <c r="B36" s="323"/>
      <c r="C36" s="323"/>
      <c r="D36" s="323"/>
      <c r="E36" s="323"/>
      <c r="F36" s="323"/>
      <c r="G36" s="323"/>
    </row>
    <row r="37" spans="1:7" s="1" customFormat="1">
      <c r="A37" s="13"/>
      <c r="B37" s="190" t="s">
        <v>1</v>
      </c>
      <c r="C37" s="189" t="s">
        <v>0</v>
      </c>
      <c r="D37" s="354">
        <f>SUM(D36:D36)</f>
        <v>0</v>
      </c>
      <c r="E37" s="354">
        <f>SUM(E36:E36)</f>
        <v>0</v>
      </c>
      <c r="F37" s="354">
        <f>SUM(F36:F36)</f>
        <v>0</v>
      </c>
      <c r="G37" s="160" t="s">
        <v>0</v>
      </c>
    </row>
    <row r="38" spans="1:7" s="1" customFormat="1">
      <c r="A38" s="341" t="s">
        <v>1792</v>
      </c>
      <c r="B38" s="341"/>
      <c r="C38" s="341"/>
      <c r="D38" s="341"/>
      <c r="E38" s="341"/>
      <c r="F38" s="341"/>
      <c r="G38" s="341"/>
    </row>
    <row r="39" spans="1:7" s="1" customFormat="1">
      <c r="A39" s="13"/>
      <c r="B39" s="190" t="s">
        <v>1</v>
      </c>
      <c r="C39" s="189" t="s">
        <v>0</v>
      </c>
      <c r="D39" s="354">
        <f>SUM(D38:D38)</f>
        <v>0</v>
      </c>
      <c r="E39" s="354">
        <f>SUM(E38:E38)</f>
        <v>0</v>
      </c>
      <c r="F39" s="354">
        <f>SUM(F38:F38)</f>
        <v>0</v>
      </c>
      <c r="G39" s="160" t="s">
        <v>0</v>
      </c>
    </row>
    <row r="40" spans="1:7" s="1" customFormat="1">
      <c r="A40" s="323" t="s">
        <v>1791</v>
      </c>
      <c r="B40" s="323"/>
      <c r="C40" s="323"/>
      <c r="D40" s="323"/>
      <c r="E40" s="323"/>
      <c r="F40" s="323"/>
      <c r="G40" s="323"/>
    </row>
    <row r="41" spans="1:7" s="1" customFormat="1">
      <c r="A41" s="163"/>
      <c r="B41" s="163" t="s">
        <v>1</v>
      </c>
      <c r="C41" s="162" t="s">
        <v>0</v>
      </c>
      <c r="D41" s="161" t="s">
        <v>0</v>
      </c>
      <c r="E41" s="161" t="s">
        <v>0</v>
      </c>
      <c r="F41" s="161" t="s">
        <v>0</v>
      </c>
      <c r="G41" s="162" t="s">
        <v>0</v>
      </c>
    </row>
    <row r="42" spans="1:7" s="1" customFormat="1">
      <c r="A42" s="355" t="s">
        <v>1790</v>
      </c>
      <c r="B42" s="355"/>
      <c r="C42" s="355"/>
      <c r="D42" s="355"/>
      <c r="E42" s="355"/>
      <c r="F42" s="355"/>
      <c r="G42" s="355"/>
    </row>
    <row r="43" spans="1:7" s="1" customFormat="1">
      <c r="A43" s="163"/>
      <c r="B43" s="163" t="s">
        <v>1</v>
      </c>
      <c r="C43" s="162" t="s">
        <v>0</v>
      </c>
      <c r="D43" s="161" t="s">
        <v>0</v>
      </c>
      <c r="E43" s="161" t="s">
        <v>0</v>
      </c>
      <c r="F43" s="161" t="s">
        <v>0</v>
      </c>
      <c r="G43" s="162" t="s">
        <v>0</v>
      </c>
    </row>
    <row r="44" spans="1:7" s="1" customFormat="1">
      <c r="A44" s="341" t="s">
        <v>1789</v>
      </c>
      <c r="B44" s="341"/>
      <c r="C44" s="341"/>
      <c r="D44" s="341"/>
      <c r="E44" s="341"/>
      <c r="F44" s="341"/>
      <c r="G44" s="341"/>
    </row>
    <row r="45" spans="1:7" s="1" customFormat="1">
      <c r="A45" s="13"/>
      <c r="B45" s="190" t="s">
        <v>1</v>
      </c>
      <c r="C45" s="189" t="s">
        <v>0</v>
      </c>
      <c r="D45" s="354">
        <f>SUM(D44:D44)</f>
        <v>0</v>
      </c>
      <c r="E45" s="354">
        <f>SUM(E44:E44)</f>
        <v>0</v>
      </c>
      <c r="F45" s="354">
        <f>SUM(F44:F44)</f>
        <v>0</v>
      </c>
      <c r="G45" s="160" t="s">
        <v>0</v>
      </c>
    </row>
    <row r="46" spans="1:7" s="1" customFormat="1">
      <c r="A46" s="353" t="s">
        <v>1788</v>
      </c>
      <c r="B46" s="353"/>
      <c r="C46" s="353"/>
      <c r="D46" s="353"/>
      <c r="E46" s="353"/>
      <c r="F46" s="353"/>
      <c r="G46" s="353"/>
    </row>
    <row r="47" spans="1:7" s="1" customFormat="1">
      <c r="A47" s="13"/>
      <c r="B47" s="13" t="s">
        <v>1</v>
      </c>
      <c r="C47" s="15" t="s">
        <v>0</v>
      </c>
      <c r="D47" s="352">
        <f>SUM(D46:D46)</f>
        <v>0</v>
      </c>
      <c r="E47" s="352">
        <f>SUM(E46:E46)</f>
        <v>0</v>
      </c>
      <c r="F47" s="352">
        <f>SUM(F46:F46)</f>
        <v>0</v>
      </c>
      <c r="G47" s="14" t="s">
        <v>0</v>
      </c>
    </row>
    <row r="48" spans="1:7" s="1" customFormat="1">
      <c r="A48" s="351" t="s">
        <v>1787</v>
      </c>
      <c r="B48" s="351"/>
      <c r="C48" s="351"/>
      <c r="D48" s="351"/>
      <c r="E48" s="351"/>
      <c r="F48" s="351"/>
      <c r="G48" s="351"/>
    </row>
    <row r="49" spans="1:7" s="1" customFormat="1" ht="110.25">
      <c r="A49" s="349" t="s">
        <v>1786</v>
      </c>
      <c r="B49" s="51" t="s">
        <v>1776</v>
      </c>
      <c r="C49" s="81" t="s">
        <v>1785</v>
      </c>
      <c r="D49" s="24">
        <v>119.259</v>
      </c>
      <c r="E49" s="24">
        <v>119.259</v>
      </c>
      <c r="F49" s="24">
        <v>94.938000000000002</v>
      </c>
      <c r="G49" s="350" t="s">
        <v>1778</v>
      </c>
    </row>
    <row r="50" spans="1:7" s="1" customFormat="1" ht="110.25">
      <c r="A50" s="349" t="s">
        <v>1784</v>
      </c>
      <c r="B50" s="51" t="s">
        <v>1776</v>
      </c>
      <c r="C50" s="25" t="s">
        <v>1783</v>
      </c>
      <c r="D50" s="24">
        <v>118.69199999999999</v>
      </c>
      <c r="E50" s="24">
        <v>118.69199999999999</v>
      </c>
      <c r="F50" s="24">
        <v>94.965000000000003</v>
      </c>
      <c r="G50" s="350" t="s">
        <v>1778</v>
      </c>
    </row>
    <row r="51" spans="1:7" s="1" customFormat="1" ht="126">
      <c r="A51" s="349" t="s">
        <v>1782</v>
      </c>
      <c r="B51" s="51" t="s">
        <v>1776</v>
      </c>
      <c r="C51" s="25" t="s">
        <v>1781</v>
      </c>
      <c r="D51" s="24">
        <v>79.52</v>
      </c>
      <c r="E51" s="24">
        <v>79.52</v>
      </c>
      <c r="F51" s="24">
        <v>68.168000000000006</v>
      </c>
      <c r="G51" s="350" t="s">
        <v>1778</v>
      </c>
    </row>
    <row r="52" spans="1:7" s="1" customFormat="1" ht="110.25">
      <c r="A52" s="349" t="s">
        <v>1780</v>
      </c>
      <c r="B52" s="51" t="s">
        <v>1776</v>
      </c>
      <c r="C52" s="25" t="s">
        <v>1779</v>
      </c>
      <c r="D52" s="24">
        <v>90.528999999999996</v>
      </c>
      <c r="E52" s="24">
        <v>90.528999999999996</v>
      </c>
      <c r="F52" s="24">
        <v>8.1</v>
      </c>
      <c r="G52" s="350" t="s">
        <v>1778</v>
      </c>
    </row>
    <row r="53" spans="1:7" s="1" customFormat="1" ht="220.5">
      <c r="A53" s="349" t="s">
        <v>1777</v>
      </c>
      <c r="B53" s="51" t="s">
        <v>1776</v>
      </c>
      <c r="C53" s="81" t="s">
        <v>1775</v>
      </c>
      <c r="D53" s="24">
        <v>840</v>
      </c>
      <c r="E53" s="24">
        <v>242</v>
      </c>
      <c r="F53" s="24">
        <v>19.440000000000001</v>
      </c>
      <c r="G53" s="347" t="s">
        <v>1774</v>
      </c>
    </row>
    <row r="54" spans="1:7" s="1" customFormat="1">
      <c r="A54" s="349"/>
      <c r="B54" s="172"/>
      <c r="C54" s="348"/>
      <c r="D54" s="24"/>
      <c r="E54" s="24"/>
      <c r="F54" s="24"/>
      <c r="G54" s="347"/>
    </row>
    <row r="55" spans="1:7" s="1" customFormat="1" ht="16.5" thickBot="1">
      <c r="A55" s="346"/>
      <c r="B55" s="345" t="s">
        <v>1</v>
      </c>
      <c r="C55" s="344" t="s">
        <v>0</v>
      </c>
      <c r="D55" s="343">
        <f>SUM(D49:D54)</f>
        <v>1248</v>
      </c>
      <c r="E55" s="343">
        <f>SUM(E49:E54)</f>
        <v>650</v>
      </c>
      <c r="F55" s="343">
        <f>SUM(F49:F54)</f>
        <v>285.61100000000005</v>
      </c>
      <c r="G55" s="342" t="s">
        <v>0</v>
      </c>
    </row>
    <row r="56" spans="1:7" s="1" customFormat="1" ht="20.45" customHeight="1">
      <c r="A56" s="323" t="s">
        <v>1773</v>
      </c>
      <c r="B56" s="323"/>
      <c r="C56" s="323"/>
      <c r="D56" s="323"/>
      <c r="E56" s="323"/>
      <c r="F56" s="323"/>
      <c r="G56" s="323"/>
    </row>
    <row r="57" spans="1:7" s="1" customFormat="1">
      <c r="A57" s="163"/>
      <c r="B57" s="163" t="s">
        <v>1</v>
      </c>
      <c r="C57" s="162" t="s">
        <v>0</v>
      </c>
      <c r="D57" s="161">
        <v>0</v>
      </c>
      <c r="E57" s="161">
        <v>0</v>
      </c>
      <c r="F57" s="161">
        <v>0</v>
      </c>
      <c r="G57" s="162" t="s">
        <v>0</v>
      </c>
    </row>
    <row r="58" spans="1:7" s="1" customFormat="1">
      <c r="A58" s="341" t="s">
        <v>1772</v>
      </c>
      <c r="B58" s="341"/>
      <c r="C58" s="341"/>
      <c r="D58" s="341"/>
      <c r="E58" s="341"/>
      <c r="F58" s="341"/>
      <c r="G58" s="341"/>
    </row>
    <row r="59" spans="1:7" s="1" customFormat="1" ht="47.25">
      <c r="A59" s="304" t="s">
        <v>1771</v>
      </c>
      <c r="B59" s="332" t="s">
        <v>1770</v>
      </c>
      <c r="C59" s="61" t="s">
        <v>1769</v>
      </c>
      <c r="D59" s="340">
        <v>6270.5349999999999</v>
      </c>
      <c r="E59" s="336">
        <v>6270.5349999999999</v>
      </c>
      <c r="F59" s="333">
        <v>6076.5560100000002</v>
      </c>
      <c r="G59" s="13" t="s">
        <v>1730</v>
      </c>
    </row>
    <row r="60" spans="1:7" s="1" customFormat="1" ht="63">
      <c r="A60" s="304"/>
      <c r="B60" s="332"/>
      <c r="C60" s="61" t="s">
        <v>1768</v>
      </c>
      <c r="D60" s="340"/>
      <c r="E60" s="336"/>
      <c r="F60" s="333">
        <v>111.97410000000001</v>
      </c>
      <c r="G60" s="61" t="s">
        <v>1671</v>
      </c>
    </row>
    <row r="61" spans="1:7" s="1" customFormat="1" ht="63">
      <c r="A61" s="329"/>
      <c r="B61" s="13"/>
      <c r="C61" s="61" t="s">
        <v>1767</v>
      </c>
      <c r="D61" s="339">
        <v>10.106</v>
      </c>
      <c r="E61" s="152">
        <v>10.106</v>
      </c>
      <c r="F61" s="338">
        <v>10.106</v>
      </c>
      <c r="G61" s="61" t="s">
        <v>1766</v>
      </c>
    </row>
    <row r="62" spans="1:7" s="1" customFormat="1" ht="63">
      <c r="A62" s="329"/>
      <c r="B62" s="13"/>
      <c r="C62" s="61" t="s">
        <v>1765</v>
      </c>
      <c r="D62" s="338">
        <v>26.7</v>
      </c>
      <c r="E62" s="338">
        <v>26.7</v>
      </c>
      <c r="F62" s="338">
        <v>26.7</v>
      </c>
      <c r="G62" s="61" t="s">
        <v>1732</v>
      </c>
    </row>
    <row r="63" spans="1:7" s="1" customFormat="1" ht="78.75">
      <c r="A63" s="329"/>
      <c r="B63" s="13"/>
      <c r="C63" s="61" t="s">
        <v>1764</v>
      </c>
      <c r="D63" s="338">
        <v>69.042000000000002</v>
      </c>
      <c r="E63" s="338">
        <v>69.042000000000002</v>
      </c>
      <c r="F63" s="338">
        <f>69.042</f>
        <v>69.042000000000002</v>
      </c>
      <c r="G63" s="61" t="s">
        <v>1732</v>
      </c>
    </row>
    <row r="64" spans="1:7" s="1" customFormat="1" ht="78.75">
      <c r="A64" s="329"/>
      <c r="B64" s="13"/>
      <c r="C64" s="61" t="s">
        <v>1763</v>
      </c>
      <c r="D64" s="338">
        <v>10</v>
      </c>
      <c r="E64" s="338">
        <v>10</v>
      </c>
      <c r="F64" s="338">
        <f>10</f>
        <v>10</v>
      </c>
      <c r="G64" s="61" t="s">
        <v>1738</v>
      </c>
    </row>
    <row r="65" spans="1:7" s="1" customFormat="1">
      <c r="A65" s="304" t="s">
        <v>1762</v>
      </c>
      <c r="B65" s="332" t="s">
        <v>1761</v>
      </c>
      <c r="C65" s="231" t="s">
        <v>1760</v>
      </c>
      <c r="D65" s="336">
        <v>3759.163</v>
      </c>
      <c r="E65" s="336">
        <v>2900</v>
      </c>
      <c r="F65" s="333">
        <v>2835.0450000000001</v>
      </c>
      <c r="G65" s="61" t="s">
        <v>1759</v>
      </c>
    </row>
    <row r="66" spans="1:7" s="1" customFormat="1">
      <c r="A66" s="304"/>
      <c r="B66" s="332"/>
      <c r="C66" s="231"/>
      <c r="D66" s="336"/>
      <c r="E66" s="336"/>
      <c r="F66" s="333">
        <v>22.698119999999999</v>
      </c>
      <c r="G66" s="61" t="s">
        <v>1758</v>
      </c>
    </row>
    <row r="67" spans="1:7" s="1" customFormat="1" ht="63">
      <c r="A67" s="329" t="s">
        <v>1757</v>
      </c>
      <c r="B67" s="13" t="s">
        <v>1756</v>
      </c>
      <c r="C67" s="61" t="s">
        <v>1755</v>
      </c>
      <c r="D67" s="146">
        <v>1474.067</v>
      </c>
      <c r="E67" s="146">
        <v>1474.067</v>
      </c>
      <c r="F67" s="333">
        <v>167.54</v>
      </c>
      <c r="G67" s="13" t="s">
        <v>1754</v>
      </c>
    </row>
    <row r="68" spans="1:7" s="1" customFormat="1" ht="47.25">
      <c r="A68" s="304" t="s">
        <v>1753</v>
      </c>
      <c r="B68" s="332" t="s">
        <v>1752</v>
      </c>
      <c r="C68" s="61" t="s">
        <v>1751</v>
      </c>
      <c r="D68" s="336">
        <v>2754.9929999999999</v>
      </c>
      <c r="E68" s="336">
        <v>2754.9929999999999</v>
      </c>
      <c r="F68" s="333">
        <f>280.56+16.008</f>
        <v>296.56799999999998</v>
      </c>
      <c r="G68" s="13" t="s">
        <v>1732</v>
      </c>
    </row>
    <row r="69" spans="1:7" s="1" customFormat="1" ht="63">
      <c r="A69" s="304"/>
      <c r="B69" s="332"/>
      <c r="C69" s="61" t="s">
        <v>1750</v>
      </c>
      <c r="D69" s="336"/>
      <c r="E69" s="336"/>
      <c r="F69" s="333">
        <v>26.208310000000001</v>
      </c>
      <c r="G69" s="61" t="s">
        <v>1671</v>
      </c>
    </row>
    <row r="70" spans="1:7" s="1" customFormat="1" ht="63">
      <c r="A70" s="304"/>
      <c r="B70" s="332"/>
      <c r="C70" s="61" t="s">
        <v>1749</v>
      </c>
      <c r="D70" s="336"/>
      <c r="E70" s="336"/>
      <c r="F70" s="333">
        <v>2154.7252699999999</v>
      </c>
      <c r="G70" s="61" t="s">
        <v>1748</v>
      </c>
    </row>
    <row r="71" spans="1:7" s="1" customFormat="1" ht="63">
      <c r="A71" s="329" t="s">
        <v>1747</v>
      </c>
      <c r="B71" s="13" t="s">
        <v>1746</v>
      </c>
      <c r="C71" s="61" t="s">
        <v>1745</v>
      </c>
      <c r="D71" s="146">
        <v>42.506999999999998</v>
      </c>
      <c r="E71" s="146">
        <v>42.506999999999998</v>
      </c>
      <c r="F71" s="333">
        <v>42.50506</v>
      </c>
      <c r="G71" s="61" t="s">
        <v>1744</v>
      </c>
    </row>
    <row r="72" spans="1:7" s="1" customFormat="1" ht="63">
      <c r="A72" s="304" t="s">
        <v>1743</v>
      </c>
      <c r="B72" s="332" t="s">
        <v>1742</v>
      </c>
      <c r="C72" s="61" t="s">
        <v>1741</v>
      </c>
      <c r="D72" s="336">
        <v>549.98</v>
      </c>
      <c r="E72" s="336">
        <v>549.98</v>
      </c>
      <c r="F72" s="337">
        <f>48.945</f>
        <v>48.945</v>
      </c>
      <c r="G72" s="61" t="s">
        <v>1740</v>
      </c>
    </row>
    <row r="73" spans="1:7" s="1" customFormat="1" ht="78.75">
      <c r="A73" s="304"/>
      <c r="B73" s="332"/>
      <c r="C73" s="61" t="s">
        <v>1739</v>
      </c>
      <c r="D73" s="336"/>
      <c r="E73" s="336"/>
      <c r="F73" s="337">
        <v>14</v>
      </c>
      <c r="G73" s="61" t="s">
        <v>1738</v>
      </c>
    </row>
    <row r="74" spans="1:7" s="1" customFormat="1" ht="47.25">
      <c r="A74" s="304"/>
      <c r="B74" s="332"/>
      <c r="C74" s="61" t="s">
        <v>1737</v>
      </c>
      <c r="D74" s="336"/>
      <c r="E74" s="336"/>
      <c r="F74" s="333">
        <v>0</v>
      </c>
      <c r="G74" s="186"/>
    </row>
    <row r="75" spans="1:7" s="1" customFormat="1" ht="63">
      <c r="A75" s="304" t="s">
        <v>1736</v>
      </c>
      <c r="B75" s="332" t="s">
        <v>1735</v>
      </c>
      <c r="C75" s="61" t="s">
        <v>1734</v>
      </c>
      <c r="D75" s="335">
        <v>1269.7349999999999</v>
      </c>
      <c r="E75" s="335">
        <v>1269.7349999999999</v>
      </c>
      <c r="F75" s="333">
        <v>23.0183</v>
      </c>
      <c r="G75" s="61" t="s">
        <v>1671</v>
      </c>
    </row>
    <row r="76" spans="1:7" s="1" customFormat="1" ht="78.75">
      <c r="A76" s="304"/>
      <c r="B76" s="332"/>
      <c r="C76" s="61" t="s">
        <v>1733</v>
      </c>
      <c r="D76" s="335"/>
      <c r="E76" s="335"/>
      <c r="F76" s="333">
        <v>1.4850000000000001</v>
      </c>
      <c r="G76" s="61" t="s">
        <v>1732</v>
      </c>
    </row>
    <row r="77" spans="1:7" s="1" customFormat="1" ht="47.25">
      <c r="A77" s="304"/>
      <c r="B77" s="332"/>
      <c r="C77" s="61" t="s">
        <v>1731</v>
      </c>
      <c r="D77" s="335"/>
      <c r="E77" s="335"/>
      <c r="F77" s="334">
        <v>1245.20018</v>
      </c>
      <c r="G77" s="61" t="s">
        <v>1730</v>
      </c>
    </row>
    <row r="78" spans="1:7" s="1" customFormat="1">
      <c r="A78" s="329" t="s">
        <v>1729</v>
      </c>
      <c r="B78" s="332" t="s">
        <v>1728</v>
      </c>
      <c r="C78" s="231" t="s">
        <v>1727</v>
      </c>
      <c r="D78" s="335">
        <v>2735.5329999999999</v>
      </c>
      <c r="E78" s="335">
        <v>2735.5329999999999</v>
      </c>
      <c r="F78" s="334">
        <v>1801.8376000000001</v>
      </c>
      <c r="G78" s="61" t="s">
        <v>1726</v>
      </c>
    </row>
    <row r="79" spans="1:7" s="1" customFormat="1" ht="31.5">
      <c r="A79" s="329"/>
      <c r="B79" s="332"/>
      <c r="C79" s="231"/>
      <c r="D79" s="335"/>
      <c r="E79" s="335"/>
      <c r="F79" s="334">
        <v>32.4</v>
      </c>
      <c r="G79" s="61" t="s">
        <v>1671</v>
      </c>
    </row>
    <row r="80" spans="1:7" s="1" customFormat="1" ht="63">
      <c r="A80" s="329" t="s">
        <v>1679</v>
      </c>
      <c r="B80" s="13" t="s">
        <v>1678</v>
      </c>
      <c r="C80" s="61" t="s">
        <v>1725</v>
      </c>
      <c r="D80" s="334">
        <v>466.084</v>
      </c>
      <c r="E80" s="334">
        <v>466.084</v>
      </c>
      <c r="F80" s="334">
        <v>465.21600000000001</v>
      </c>
      <c r="G80" s="13" t="s">
        <v>1724</v>
      </c>
    </row>
    <row r="81" spans="1:7" s="1" customFormat="1" ht="47.25">
      <c r="A81" s="304" t="s">
        <v>1723</v>
      </c>
      <c r="B81" s="332" t="s">
        <v>1722</v>
      </c>
      <c r="C81" s="61" t="s">
        <v>1721</v>
      </c>
      <c r="D81" s="335">
        <v>1423.3889999999999</v>
      </c>
      <c r="E81" s="335">
        <v>1423.3889999999999</v>
      </c>
      <c r="F81" s="334">
        <f>8.19623+6.50143+9.72406</f>
        <v>24.421720000000001</v>
      </c>
      <c r="G81" s="13" t="s">
        <v>1671</v>
      </c>
    </row>
    <row r="82" spans="1:7" s="1" customFormat="1" ht="31.5">
      <c r="A82" s="304"/>
      <c r="B82" s="332"/>
      <c r="C82" s="61" t="s">
        <v>1720</v>
      </c>
      <c r="D82" s="335"/>
      <c r="E82" s="335"/>
      <c r="F82" s="334">
        <f>446.21899+355.58927+534.23911</f>
        <v>1336.04737</v>
      </c>
      <c r="G82" s="61" t="s">
        <v>1719</v>
      </c>
    </row>
    <row r="83" spans="1:7" s="1" customFormat="1" ht="63">
      <c r="A83" s="304" t="s">
        <v>1718</v>
      </c>
      <c r="B83" s="332" t="s">
        <v>1717</v>
      </c>
      <c r="C83" s="61" t="s">
        <v>1716</v>
      </c>
      <c r="D83" s="335">
        <v>760.43899999999996</v>
      </c>
      <c r="E83" s="335">
        <v>760.43899999999996</v>
      </c>
      <c r="F83" s="334">
        <f>71.856+6.012</f>
        <v>77.867999999999995</v>
      </c>
      <c r="G83" s="61" t="s">
        <v>1696</v>
      </c>
    </row>
    <row r="84" spans="1:7" s="1" customFormat="1" ht="63">
      <c r="A84" s="304"/>
      <c r="B84" s="332"/>
      <c r="C84" s="61" t="s">
        <v>1715</v>
      </c>
      <c r="D84" s="335"/>
      <c r="E84" s="335"/>
      <c r="F84" s="334">
        <v>5.8819999999999997</v>
      </c>
      <c r="G84" s="61" t="s">
        <v>1696</v>
      </c>
    </row>
    <row r="85" spans="1:7" s="1" customFormat="1" ht="78.75">
      <c r="A85" s="304"/>
      <c r="B85" s="332"/>
      <c r="C85" s="61" t="s">
        <v>1714</v>
      </c>
      <c r="D85" s="335"/>
      <c r="E85" s="335"/>
      <c r="F85" s="334">
        <v>10.544</v>
      </c>
      <c r="G85" s="61" t="s">
        <v>1713</v>
      </c>
    </row>
    <row r="86" spans="1:7" s="1" customFormat="1" ht="47.25">
      <c r="A86" s="304"/>
      <c r="B86" s="332"/>
      <c r="C86" s="61" t="s">
        <v>1712</v>
      </c>
      <c r="D86" s="335"/>
      <c r="E86" s="335"/>
      <c r="F86" s="334">
        <v>513</v>
      </c>
      <c r="G86" s="61" t="s">
        <v>1711</v>
      </c>
    </row>
    <row r="87" spans="1:7" s="1" customFormat="1" ht="47.25">
      <c r="A87" s="304" t="s">
        <v>1710</v>
      </c>
      <c r="B87" s="332" t="s">
        <v>1709</v>
      </c>
      <c r="C87" s="61" t="s">
        <v>1705</v>
      </c>
      <c r="D87" s="335">
        <v>3341.3980000000001</v>
      </c>
      <c r="E87" s="335">
        <v>3341.3980000000001</v>
      </c>
      <c r="F87" s="334">
        <v>678.63458000000003</v>
      </c>
      <c r="G87" s="13" t="s">
        <v>1708</v>
      </c>
    </row>
    <row r="88" spans="1:7" s="1" customFormat="1" ht="63">
      <c r="A88" s="304"/>
      <c r="B88" s="332"/>
      <c r="C88" s="61" t="s">
        <v>1707</v>
      </c>
      <c r="D88" s="335"/>
      <c r="E88" s="335"/>
      <c r="F88" s="334">
        <v>233.9</v>
      </c>
      <c r="G88" s="61" t="s">
        <v>1706</v>
      </c>
    </row>
    <row r="89" spans="1:7" s="1" customFormat="1" ht="47.25">
      <c r="A89" s="304"/>
      <c r="B89" s="332"/>
      <c r="C89" s="61" t="s">
        <v>1705</v>
      </c>
      <c r="D89" s="335"/>
      <c r="E89" s="335"/>
      <c r="F89" s="334">
        <v>12.518560000000001</v>
      </c>
      <c r="G89" s="61" t="s">
        <v>1059</v>
      </c>
    </row>
    <row r="90" spans="1:7" s="1" customFormat="1" ht="63">
      <c r="A90" s="329" t="s">
        <v>1704</v>
      </c>
      <c r="B90" s="13" t="s">
        <v>1703</v>
      </c>
      <c r="C90" s="61" t="s">
        <v>1702</v>
      </c>
      <c r="D90" s="333">
        <v>2986.89</v>
      </c>
      <c r="E90" s="333">
        <v>986.89</v>
      </c>
      <c r="F90" s="333">
        <v>0</v>
      </c>
      <c r="G90" s="186"/>
    </row>
    <row r="91" spans="1:7" s="1" customFormat="1" ht="47.25">
      <c r="A91" s="329"/>
      <c r="B91" s="13"/>
      <c r="C91" s="61" t="s">
        <v>1701</v>
      </c>
      <c r="D91" s="333"/>
      <c r="E91" s="333"/>
      <c r="F91" s="333">
        <v>399.34800000000001</v>
      </c>
      <c r="G91" s="61" t="s">
        <v>1700</v>
      </c>
    </row>
    <row r="92" spans="1:7" s="1" customFormat="1" ht="63">
      <c r="A92" s="304" t="s">
        <v>1699</v>
      </c>
      <c r="B92" s="332" t="s">
        <v>1698</v>
      </c>
      <c r="C92" s="61" t="s">
        <v>1697</v>
      </c>
      <c r="D92" s="330">
        <v>1705.6010000000001</v>
      </c>
      <c r="E92" s="330">
        <v>1197.9190000000001</v>
      </c>
      <c r="F92" s="333">
        <f>103.633+6.012</f>
        <v>109.645</v>
      </c>
      <c r="G92" s="61" t="s">
        <v>1696</v>
      </c>
    </row>
    <row r="93" spans="1:7" s="1" customFormat="1" ht="47.25">
      <c r="A93" s="304"/>
      <c r="B93" s="332"/>
      <c r="C93" s="61" t="s">
        <v>1695</v>
      </c>
      <c r="D93" s="330"/>
      <c r="E93" s="330"/>
      <c r="F93" s="209">
        <v>0</v>
      </c>
      <c r="G93" s="186"/>
    </row>
    <row r="94" spans="1:7" s="1" customFormat="1" ht="94.5">
      <c r="A94" s="304" t="s">
        <v>1694</v>
      </c>
      <c r="B94" s="332" t="s">
        <v>1689</v>
      </c>
      <c r="C94" s="61" t="s">
        <v>1693</v>
      </c>
      <c r="D94" s="330">
        <v>509.95499999999998</v>
      </c>
      <c r="E94" s="330">
        <v>509.95499999999998</v>
      </c>
      <c r="F94" s="209">
        <v>319.11946</v>
      </c>
      <c r="G94" s="61" t="s">
        <v>1687</v>
      </c>
    </row>
    <row r="95" spans="1:7" s="1" customFormat="1" ht="78.75">
      <c r="A95" s="304"/>
      <c r="B95" s="332"/>
      <c r="C95" s="61" t="s">
        <v>1692</v>
      </c>
      <c r="D95" s="330"/>
      <c r="E95" s="330"/>
      <c r="F95" s="209">
        <v>5.8674200000000001</v>
      </c>
      <c r="G95" s="61" t="s">
        <v>1671</v>
      </c>
    </row>
    <row r="96" spans="1:7" s="1" customFormat="1" ht="126">
      <c r="A96" s="304"/>
      <c r="B96" s="332"/>
      <c r="C96" s="61" t="s">
        <v>1691</v>
      </c>
      <c r="D96" s="330"/>
      <c r="E96" s="330"/>
      <c r="F96" s="209">
        <f>34.4+4.008</f>
        <v>38.408000000000001</v>
      </c>
      <c r="G96" s="61" t="s">
        <v>1684</v>
      </c>
    </row>
    <row r="97" spans="1:7" s="1" customFormat="1" ht="110.25">
      <c r="A97" s="304" t="s">
        <v>1690</v>
      </c>
      <c r="B97" s="332" t="s">
        <v>1689</v>
      </c>
      <c r="C97" s="61" t="s">
        <v>1688</v>
      </c>
      <c r="D97" s="330">
        <v>490.04500000000002</v>
      </c>
      <c r="E97" s="330">
        <v>490.04500000000002</v>
      </c>
      <c r="F97" s="209">
        <v>379.78579000000002</v>
      </c>
      <c r="G97" s="61" t="s">
        <v>1687</v>
      </c>
    </row>
    <row r="98" spans="1:7" s="1" customFormat="1" ht="78.75">
      <c r="A98" s="304"/>
      <c r="B98" s="332"/>
      <c r="C98" s="61" t="s">
        <v>1686</v>
      </c>
      <c r="D98" s="330"/>
      <c r="E98" s="330"/>
      <c r="F98" s="209">
        <v>6.9899800000000001</v>
      </c>
      <c r="G98" s="61" t="s">
        <v>1671</v>
      </c>
    </row>
    <row r="99" spans="1:7" s="1" customFormat="1" ht="126">
      <c r="A99" s="304"/>
      <c r="B99" s="332"/>
      <c r="C99" s="61" t="s">
        <v>1685</v>
      </c>
      <c r="D99" s="330"/>
      <c r="E99" s="330"/>
      <c r="F99" s="209">
        <f>31.511+4.008</f>
        <v>35.518999999999998</v>
      </c>
      <c r="G99" s="61" t="s">
        <v>1684</v>
      </c>
    </row>
    <row r="100" spans="1:7" s="1" customFormat="1" ht="63">
      <c r="A100" s="329" t="s">
        <v>1683</v>
      </c>
      <c r="B100" s="13" t="s">
        <v>1682</v>
      </c>
      <c r="C100" s="61" t="s">
        <v>1681</v>
      </c>
      <c r="D100" s="328">
        <v>2734.2570000000001</v>
      </c>
      <c r="E100" s="209">
        <v>2124.069</v>
      </c>
      <c r="F100" s="209">
        <v>1910.674</v>
      </c>
      <c r="G100" s="13" t="s">
        <v>1680</v>
      </c>
    </row>
    <row r="101" spans="1:7" s="1" customFormat="1" ht="94.5">
      <c r="A101" s="329" t="s">
        <v>1679</v>
      </c>
      <c r="B101" s="13" t="s">
        <v>1678</v>
      </c>
      <c r="C101" s="61" t="s">
        <v>1677</v>
      </c>
      <c r="D101" s="328">
        <v>6151.9440000000004</v>
      </c>
      <c r="E101" s="331">
        <v>5075.9719999999998</v>
      </c>
      <c r="F101" s="209">
        <v>4616.2070000000003</v>
      </c>
      <c r="G101" s="13" t="s">
        <v>1676</v>
      </c>
    </row>
    <row r="102" spans="1:7" s="1" customFormat="1">
      <c r="A102" s="329" t="s">
        <v>1675</v>
      </c>
      <c r="B102" s="13" t="s">
        <v>1674</v>
      </c>
      <c r="C102" s="231" t="s">
        <v>1673</v>
      </c>
      <c r="D102" s="330">
        <v>57</v>
      </c>
      <c r="E102" s="330">
        <v>57</v>
      </c>
      <c r="F102" s="209">
        <v>47.069270000000003</v>
      </c>
      <c r="G102" s="61" t="s">
        <v>1672</v>
      </c>
    </row>
    <row r="103" spans="1:7" s="1" customFormat="1" ht="31.5">
      <c r="A103" s="329"/>
      <c r="B103" s="13"/>
      <c r="C103" s="231"/>
      <c r="D103" s="330"/>
      <c r="E103" s="330"/>
      <c r="F103" s="209">
        <v>0.87173999999999996</v>
      </c>
      <c r="G103" s="61" t="s">
        <v>1671</v>
      </c>
    </row>
    <row r="104" spans="1:7" s="1" customFormat="1" ht="126">
      <c r="A104" s="329" t="s">
        <v>1670</v>
      </c>
      <c r="B104" s="13" t="s">
        <v>1669</v>
      </c>
      <c r="C104" s="61" t="s">
        <v>1668</v>
      </c>
      <c r="D104" s="209">
        <v>110</v>
      </c>
      <c r="E104" s="209">
        <v>0</v>
      </c>
      <c r="F104" s="209">
        <v>0</v>
      </c>
      <c r="G104" s="13"/>
    </row>
    <row r="105" spans="1:7" s="1" customFormat="1" ht="63.75" thickBot="1">
      <c r="A105" s="329" t="s">
        <v>1667</v>
      </c>
      <c r="B105" s="13" t="s">
        <v>1666</v>
      </c>
      <c r="C105" s="61" t="s">
        <v>1665</v>
      </c>
      <c r="D105" s="328">
        <v>805.13800000000003</v>
      </c>
      <c r="E105" s="328">
        <v>805.13800000000003</v>
      </c>
      <c r="F105" s="209">
        <v>779.32100000000003</v>
      </c>
      <c r="G105" s="13" t="s">
        <v>1664</v>
      </c>
    </row>
    <row r="106" spans="1:7" s="1" customFormat="1" ht="16.5" thickBot="1">
      <c r="A106" s="327"/>
      <c r="B106" s="326" t="s">
        <v>0</v>
      </c>
      <c r="C106" s="326" t="s">
        <v>1</v>
      </c>
      <c r="D106" s="325">
        <f>SUM(D59:D105)</f>
        <v>40514.500999999997</v>
      </c>
      <c r="E106" s="325">
        <f>SUM(E59:E105)</f>
        <v>35351.495999999999</v>
      </c>
      <c r="F106" s="325">
        <f>SUM(F59:F105)</f>
        <v>27023.411840000001</v>
      </c>
      <c r="G106" s="324" t="s">
        <v>0</v>
      </c>
    </row>
    <row r="107" spans="1:7" s="1" customFormat="1">
      <c r="A107" s="323" t="s">
        <v>1663</v>
      </c>
      <c r="B107" s="323"/>
      <c r="C107" s="323"/>
      <c r="D107" s="323"/>
      <c r="E107" s="323"/>
      <c r="F107" s="323"/>
      <c r="G107" s="323"/>
    </row>
    <row r="108" spans="1:7" s="1" customFormat="1" ht="63">
      <c r="A108" s="51" t="s">
        <v>1662</v>
      </c>
      <c r="B108" s="51" t="s">
        <v>1661</v>
      </c>
      <c r="C108" s="61" t="s">
        <v>1659</v>
      </c>
      <c r="D108" s="300">
        <v>746</v>
      </c>
      <c r="E108" s="322">
        <v>746</v>
      </c>
      <c r="F108" s="321">
        <v>105.26900000000001</v>
      </c>
      <c r="G108" s="61" t="s">
        <v>1572</v>
      </c>
    </row>
    <row r="109" spans="1:7" s="1" customFormat="1">
      <c r="A109" s="66" t="s">
        <v>1660</v>
      </c>
      <c r="B109" s="66" t="s">
        <v>1660</v>
      </c>
      <c r="C109" s="101" t="s">
        <v>1659</v>
      </c>
      <c r="D109" s="288">
        <v>1302</v>
      </c>
      <c r="E109" s="319">
        <v>1302</v>
      </c>
      <c r="F109" s="147">
        <v>109.932</v>
      </c>
      <c r="G109" s="61" t="s">
        <v>1568</v>
      </c>
    </row>
    <row r="110" spans="1:7" s="1" customFormat="1">
      <c r="A110" s="91"/>
      <c r="B110" s="91"/>
      <c r="C110" s="103"/>
      <c r="D110" s="287"/>
      <c r="E110" s="317"/>
      <c r="F110" s="147">
        <v>14.942</v>
      </c>
      <c r="G110" s="61" t="s">
        <v>1567</v>
      </c>
    </row>
    <row r="111" spans="1:7" s="1" customFormat="1">
      <c r="A111" s="91"/>
      <c r="B111" s="91"/>
      <c r="C111" s="103"/>
      <c r="D111" s="287"/>
      <c r="E111" s="317"/>
      <c r="F111" s="147">
        <v>17.053000000000001</v>
      </c>
      <c r="G111" s="61" t="s">
        <v>1568</v>
      </c>
    </row>
    <row r="112" spans="1:7" s="1" customFormat="1">
      <c r="A112" s="91"/>
      <c r="B112" s="91"/>
      <c r="C112" s="103"/>
      <c r="D112" s="287"/>
      <c r="E112" s="317"/>
      <c r="F112" s="147">
        <v>1144.7249999999999</v>
      </c>
      <c r="G112" s="61" t="s">
        <v>238</v>
      </c>
    </row>
    <row r="113" spans="1:7" s="1" customFormat="1">
      <c r="A113" s="314" t="s">
        <v>1658</v>
      </c>
      <c r="B113" s="313"/>
      <c r="C113" s="312"/>
      <c r="D113" s="320">
        <f>D108+D109</f>
        <v>2048</v>
      </c>
      <c r="E113" s="311">
        <f>E108+E109</f>
        <v>2048</v>
      </c>
      <c r="F113" s="311">
        <f>SUM(F108:F112)</f>
        <v>1391.9209999999998</v>
      </c>
      <c r="G113" s="145"/>
    </row>
    <row r="114" spans="1:7" s="1" customFormat="1">
      <c r="A114" s="284" t="s">
        <v>1657</v>
      </c>
      <c r="B114" s="284" t="s">
        <v>1656</v>
      </c>
      <c r="C114" s="284" t="s">
        <v>1645</v>
      </c>
      <c r="D114" s="288">
        <v>203</v>
      </c>
      <c r="E114" s="319">
        <v>203</v>
      </c>
      <c r="F114" s="147">
        <v>179.923</v>
      </c>
      <c r="G114" s="61" t="s">
        <v>1648</v>
      </c>
    </row>
    <row r="115" spans="1:7" s="1" customFormat="1">
      <c r="A115" s="318"/>
      <c r="B115" s="318"/>
      <c r="C115" s="318"/>
      <c r="D115" s="287"/>
      <c r="E115" s="317"/>
      <c r="F115" s="147">
        <v>2.8420000000000001</v>
      </c>
      <c r="G115" s="61" t="s">
        <v>1568</v>
      </c>
    </row>
    <row r="116" spans="1:7" s="1" customFormat="1">
      <c r="A116" s="318"/>
      <c r="B116" s="318"/>
      <c r="C116" s="318"/>
      <c r="D116" s="287"/>
      <c r="E116" s="317"/>
      <c r="F116" s="147">
        <v>17.632000000000001</v>
      </c>
      <c r="G116" s="61" t="s">
        <v>1568</v>
      </c>
    </row>
    <row r="117" spans="1:7" s="1" customFormat="1">
      <c r="A117" s="316"/>
      <c r="B117" s="316"/>
      <c r="C117" s="316"/>
      <c r="D117" s="286"/>
      <c r="E117" s="315"/>
      <c r="F117" s="147">
        <v>2.2530000000000001</v>
      </c>
      <c r="G117" s="61" t="s">
        <v>1417</v>
      </c>
    </row>
    <row r="118" spans="1:7" s="1" customFormat="1">
      <c r="A118" s="284" t="s">
        <v>1655</v>
      </c>
      <c r="B118" s="284" t="s">
        <v>1654</v>
      </c>
      <c r="C118" s="284" t="s">
        <v>1645</v>
      </c>
      <c r="D118" s="288">
        <v>199</v>
      </c>
      <c r="E118" s="319">
        <v>199</v>
      </c>
      <c r="F118" s="147">
        <v>176.249</v>
      </c>
      <c r="G118" s="61" t="s">
        <v>1637</v>
      </c>
    </row>
    <row r="119" spans="1:7" s="1" customFormat="1">
      <c r="A119" s="318"/>
      <c r="B119" s="318"/>
      <c r="C119" s="318"/>
      <c r="D119" s="287"/>
      <c r="E119" s="317"/>
      <c r="F119" s="147">
        <v>2.8420000000000001</v>
      </c>
      <c r="G119" s="61" t="s">
        <v>1417</v>
      </c>
    </row>
    <row r="120" spans="1:7" s="1" customFormat="1">
      <c r="A120" s="318"/>
      <c r="B120" s="318"/>
      <c r="C120" s="318"/>
      <c r="D120" s="287"/>
      <c r="E120" s="317"/>
      <c r="F120" s="147">
        <v>17.631</v>
      </c>
      <c r="G120" s="61" t="s">
        <v>1568</v>
      </c>
    </row>
    <row r="121" spans="1:7" s="1" customFormat="1">
      <c r="A121" s="316"/>
      <c r="B121" s="316"/>
      <c r="C121" s="316"/>
      <c r="D121" s="286"/>
      <c r="E121" s="315"/>
      <c r="F121" s="147">
        <v>2.2160000000000002</v>
      </c>
      <c r="G121" s="61" t="s">
        <v>1417</v>
      </c>
    </row>
    <row r="122" spans="1:7" s="1" customFormat="1">
      <c r="A122" s="284" t="s">
        <v>1653</v>
      </c>
      <c r="B122" s="284" t="s">
        <v>1652</v>
      </c>
      <c r="C122" s="284" t="s">
        <v>1645</v>
      </c>
      <c r="D122" s="288">
        <v>218</v>
      </c>
      <c r="E122" s="319">
        <v>218</v>
      </c>
      <c r="F122" s="147">
        <v>195.036</v>
      </c>
      <c r="G122" s="61" t="s">
        <v>1648</v>
      </c>
    </row>
    <row r="123" spans="1:7" s="1" customFormat="1">
      <c r="A123" s="318"/>
      <c r="B123" s="318"/>
      <c r="C123" s="318"/>
      <c r="D123" s="287"/>
      <c r="E123" s="317"/>
      <c r="F123" s="147">
        <v>2.8420000000000001</v>
      </c>
      <c r="G123" s="61" t="s">
        <v>1568</v>
      </c>
    </row>
    <row r="124" spans="1:7" s="1" customFormat="1">
      <c r="A124" s="318"/>
      <c r="B124" s="318"/>
      <c r="C124" s="318"/>
      <c r="D124" s="287"/>
      <c r="E124" s="317"/>
      <c r="F124" s="147">
        <v>17.632000000000001</v>
      </c>
      <c r="G124" s="61" t="s">
        <v>1568</v>
      </c>
    </row>
    <row r="125" spans="1:7" s="1" customFormat="1">
      <c r="A125" s="316"/>
      <c r="B125" s="316"/>
      <c r="C125" s="316"/>
      <c r="D125" s="286"/>
      <c r="E125" s="315"/>
      <c r="F125" s="147">
        <v>2.4740000000000002</v>
      </c>
      <c r="G125" s="61" t="s">
        <v>1417</v>
      </c>
    </row>
    <row r="126" spans="1:7" s="1" customFormat="1">
      <c r="A126" s="284" t="s">
        <v>1651</v>
      </c>
      <c r="B126" s="284" t="s">
        <v>1650</v>
      </c>
      <c r="C126" s="284" t="s">
        <v>1649</v>
      </c>
      <c r="D126" s="288">
        <v>827</v>
      </c>
      <c r="E126" s="319">
        <v>827</v>
      </c>
      <c r="F126" s="147">
        <v>638.42899999999997</v>
      </c>
      <c r="G126" s="61" t="s">
        <v>1648</v>
      </c>
    </row>
    <row r="127" spans="1:7" s="1" customFormat="1">
      <c r="A127" s="318"/>
      <c r="B127" s="318"/>
      <c r="C127" s="318"/>
      <c r="D127" s="287"/>
      <c r="E127" s="317"/>
      <c r="F127" s="147"/>
      <c r="G127" s="61" t="s">
        <v>1648</v>
      </c>
    </row>
    <row r="128" spans="1:7" s="1" customFormat="1">
      <c r="A128" s="318"/>
      <c r="B128" s="318"/>
      <c r="C128" s="318"/>
      <c r="D128" s="287"/>
      <c r="E128" s="317"/>
      <c r="F128" s="147"/>
      <c r="G128" s="61" t="s">
        <v>1417</v>
      </c>
    </row>
    <row r="129" spans="1:7" s="1" customFormat="1">
      <c r="A129" s="316"/>
      <c r="B129" s="316"/>
      <c r="C129" s="316"/>
      <c r="D129" s="286"/>
      <c r="E129" s="315"/>
      <c r="F129" s="147"/>
      <c r="G129" s="61" t="s">
        <v>1568</v>
      </c>
    </row>
    <row r="130" spans="1:7" s="1" customFormat="1">
      <c r="A130" s="284" t="s">
        <v>1647</v>
      </c>
      <c r="B130" s="284" t="s">
        <v>1646</v>
      </c>
      <c r="C130" s="284" t="s">
        <v>1645</v>
      </c>
      <c r="D130" s="288">
        <v>226</v>
      </c>
      <c r="E130" s="319">
        <v>226</v>
      </c>
      <c r="F130" s="147">
        <v>17.632000000000001</v>
      </c>
      <c r="G130" s="61" t="s">
        <v>1568</v>
      </c>
    </row>
    <row r="131" spans="1:7" s="1" customFormat="1">
      <c r="A131" s="318"/>
      <c r="B131" s="318"/>
      <c r="C131" s="318"/>
      <c r="D131" s="287"/>
      <c r="E131" s="317"/>
      <c r="F131" s="147">
        <v>202.958</v>
      </c>
      <c r="G131" s="61" t="s">
        <v>1637</v>
      </c>
    </row>
    <row r="132" spans="1:7" s="1" customFormat="1">
      <c r="A132" s="318"/>
      <c r="B132" s="318"/>
      <c r="C132" s="318"/>
      <c r="D132" s="287"/>
      <c r="E132" s="317"/>
      <c r="F132" s="147">
        <v>2.5539999999999998</v>
      </c>
      <c r="G132" s="61" t="s">
        <v>1417</v>
      </c>
    </row>
    <row r="133" spans="1:7" s="1" customFormat="1">
      <c r="A133" s="316"/>
      <c r="B133" s="316"/>
      <c r="C133" s="316"/>
      <c r="D133" s="286"/>
      <c r="E133" s="315"/>
      <c r="F133" s="147">
        <v>2.8420000000000001</v>
      </c>
      <c r="G133" s="61" t="s">
        <v>1568</v>
      </c>
    </row>
    <row r="134" spans="1:7" s="1" customFormat="1">
      <c r="A134" s="284" t="s">
        <v>1644</v>
      </c>
      <c r="B134" s="284" t="s">
        <v>1643</v>
      </c>
      <c r="C134" s="284" t="s">
        <v>1642</v>
      </c>
      <c r="D134" s="288">
        <v>897</v>
      </c>
      <c r="E134" s="319">
        <v>897</v>
      </c>
      <c r="F134" s="147">
        <v>43.276000000000003</v>
      </c>
      <c r="G134" s="61" t="s">
        <v>1568</v>
      </c>
    </row>
    <row r="135" spans="1:7" s="1" customFormat="1">
      <c r="A135" s="318"/>
      <c r="B135" s="318"/>
      <c r="C135" s="318"/>
      <c r="D135" s="287"/>
      <c r="E135" s="317"/>
      <c r="F135" s="147">
        <v>832.02800000000002</v>
      </c>
      <c r="G135" s="61" t="s">
        <v>1641</v>
      </c>
    </row>
    <row r="136" spans="1:7" s="1" customFormat="1">
      <c r="A136" s="318"/>
      <c r="B136" s="318"/>
      <c r="C136" s="318"/>
      <c r="D136" s="287"/>
      <c r="E136" s="317"/>
      <c r="F136" s="147">
        <v>8.5259999999999998</v>
      </c>
      <c r="G136" s="61" t="s">
        <v>1568</v>
      </c>
    </row>
    <row r="137" spans="1:7" s="1" customFormat="1">
      <c r="A137" s="316"/>
      <c r="B137" s="316"/>
      <c r="C137" s="316"/>
      <c r="D137" s="286"/>
      <c r="E137" s="315"/>
      <c r="F137" s="147">
        <v>12.422000000000001</v>
      </c>
      <c r="G137" s="61" t="s">
        <v>1417</v>
      </c>
    </row>
    <row r="138" spans="1:7" s="1" customFormat="1">
      <c r="A138" s="284" t="s">
        <v>1640</v>
      </c>
      <c r="B138" s="284" t="s">
        <v>1639</v>
      </c>
      <c r="C138" s="284" t="s">
        <v>1638</v>
      </c>
      <c r="D138" s="288">
        <v>232</v>
      </c>
      <c r="E138" s="319">
        <v>232</v>
      </c>
      <c r="F138" s="147">
        <v>17.631</v>
      </c>
      <c r="G138" s="61" t="s">
        <v>1568</v>
      </c>
    </row>
    <row r="139" spans="1:7" s="1" customFormat="1">
      <c r="A139" s="318"/>
      <c r="B139" s="318"/>
      <c r="C139" s="318"/>
      <c r="D139" s="287"/>
      <c r="E139" s="317"/>
      <c r="F139" s="147">
        <v>207.93600000000001</v>
      </c>
      <c r="G139" s="61" t="s">
        <v>1637</v>
      </c>
    </row>
    <row r="140" spans="1:7" s="1" customFormat="1">
      <c r="A140" s="318"/>
      <c r="B140" s="318"/>
      <c r="C140" s="318"/>
      <c r="D140" s="287"/>
      <c r="E140" s="317"/>
      <c r="F140" s="147">
        <v>2.61</v>
      </c>
      <c r="G140" s="61" t="s">
        <v>1417</v>
      </c>
    </row>
    <row r="141" spans="1:7" s="1" customFormat="1">
      <c r="A141" s="316"/>
      <c r="B141" s="316"/>
      <c r="C141" s="316"/>
      <c r="D141" s="286"/>
      <c r="E141" s="315"/>
      <c r="F141" s="147">
        <v>2.8420000000000001</v>
      </c>
      <c r="G141" s="61" t="s">
        <v>1568</v>
      </c>
    </row>
    <row r="142" spans="1:7" s="1" customFormat="1">
      <c r="A142" s="314" t="s">
        <v>1636</v>
      </c>
      <c r="B142" s="313"/>
      <c r="C142" s="312"/>
      <c r="D142" s="311">
        <f>SUM(D114:D141)</f>
        <v>2802</v>
      </c>
      <c r="E142" s="311">
        <f>SUM(E114:E141)</f>
        <v>2802</v>
      </c>
      <c r="F142" s="311">
        <f>SUM(F114:F141)</f>
        <v>2611.2580000000003</v>
      </c>
      <c r="G142" s="145"/>
    </row>
    <row r="143" spans="1:7" s="1" customFormat="1">
      <c r="A143" s="310" t="s">
        <v>1635</v>
      </c>
      <c r="B143" s="310" t="s">
        <v>1634</v>
      </c>
      <c r="C143" s="101" t="s">
        <v>1630</v>
      </c>
      <c r="D143" s="283">
        <v>275</v>
      </c>
      <c r="E143" s="283">
        <v>275</v>
      </c>
      <c r="F143" s="147">
        <v>2.8420000000000001</v>
      </c>
      <c r="G143" s="61" t="s">
        <v>1568</v>
      </c>
    </row>
    <row r="144" spans="1:7" s="1" customFormat="1">
      <c r="A144" s="309"/>
      <c r="B144" s="309"/>
      <c r="C144" s="103"/>
      <c r="D144" s="282"/>
      <c r="E144" s="282"/>
      <c r="F144" s="147">
        <v>3.2770000000000001</v>
      </c>
      <c r="G144" s="61" t="s">
        <v>1567</v>
      </c>
    </row>
    <row r="145" spans="1:7" s="1" customFormat="1">
      <c r="A145" s="309"/>
      <c r="B145" s="309"/>
      <c r="C145" s="103"/>
      <c r="D145" s="282"/>
      <c r="E145" s="282"/>
      <c r="F145" s="147">
        <v>12.789</v>
      </c>
      <c r="G145" s="61" t="s">
        <v>1568</v>
      </c>
    </row>
    <row r="146" spans="1:7" s="1" customFormat="1">
      <c r="A146" s="308"/>
      <c r="B146" s="308"/>
      <c r="C146" s="100"/>
      <c r="D146" s="281"/>
      <c r="E146" s="281"/>
      <c r="F146" s="147">
        <v>249.02799999999999</v>
      </c>
      <c r="G146" s="61" t="s">
        <v>1633</v>
      </c>
    </row>
    <row r="147" spans="1:7" s="1" customFormat="1">
      <c r="A147" s="307" t="s">
        <v>1632</v>
      </c>
      <c r="B147" s="304" t="s">
        <v>1631</v>
      </c>
      <c r="C147" s="101" t="s">
        <v>1630</v>
      </c>
      <c r="D147" s="283">
        <v>995</v>
      </c>
      <c r="E147" s="283">
        <v>995</v>
      </c>
      <c r="F147" s="147">
        <v>58.026000000000003</v>
      </c>
      <c r="G147" s="61" t="s">
        <v>202</v>
      </c>
    </row>
    <row r="148" spans="1:7" s="1" customFormat="1">
      <c r="A148" s="306"/>
      <c r="B148" s="304"/>
      <c r="C148" s="103"/>
      <c r="D148" s="282"/>
      <c r="E148" s="282"/>
      <c r="F148" s="298"/>
      <c r="G148" s="61" t="s">
        <v>202</v>
      </c>
    </row>
    <row r="149" spans="1:7" s="1" customFormat="1">
      <c r="A149" s="306"/>
      <c r="B149" s="304"/>
      <c r="C149" s="103"/>
      <c r="D149" s="282"/>
      <c r="E149" s="282"/>
      <c r="F149" s="147"/>
      <c r="G149" s="61" t="s">
        <v>1567</v>
      </c>
    </row>
    <row r="150" spans="1:7" s="1" customFormat="1">
      <c r="A150" s="305"/>
      <c r="B150" s="304"/>
      <c r="C150" s="100"/>
      <c r="D150" s="281"/>
      <c r="E150" s="281"/>
      <c r="F150" s="147">
        <v>408.149</v>
      </c>
      <c r="G150" s="61" t="s">
        <v>1629</v>
      </c>
    </row>
    <row r="151" spans="1:7" s="1" customFormat="1">
      <c r="A151" s="225" t="s">
        <v>1628</v>
      </c>
      <c r="B151" s="223"/>
      <c r="C151" s="145"/>
      <c r="D151" s="279">
        <f>SUM(D143:D147)</f>
        <v>1270</v>
      </c>
      <c r="E151" s="279">
        <f>SUM(E143:E147)</f>
        <v>1270</v>
      </c>
      <c r="F151" s="278">
        <f>SUM(F143:F150)</f>
        <v>734.11099999999999</v>
      </c>
      <c r="G151" s="61"/>
    </row>
    <row r="152" spans="1:7" s="1" customFormat="1">
      <c r="A152" s="101" t="s">
        <v>1627</v>
      </c>
      <c r="B152" s="101" t="s">
        <v>1626</v>
      </c>
      <c r="C152" s="101" t="s">
        <v>1600</v>
      </c>
      <c r="D152" s="303">
        <v>850</v>
      </c>
      <c r="E152" s="303">
        <v>850</v>
      </c>
      <c r="F152" s="147">
        <v>759.23900000000003</v>
      </c>
      <c r="G152" s="61" t="s">
        <v>1417</v>
      </c>
    </row>
    <row r="153" spans="1:7" s="1" customFormat="1">
      <c r="A153" s="103"/>
      <c r="B153" s="103"/>
      <c r="C153" s="103"/>
      <c r="D153" s="302"/>
      <c r="E153" s="302"/>
      <c r="F153" s="147">
        <v>10.52</v>
      </c>
      <c r="G153" s="61" t="s">
        <v>1567</v>
      </c>
    </row>
    <row r="154" spans="1:7" s="1" customFormat="1">
      <c r="A154" s="64"/>
      <c r="B154" s="64"/>
      <c r="C154" s="64"/>
      <c r="D154" s="301"/>
      <c r="E154" s="301"/>
      <c r="F154" s="147">
        <v>14.211</v>
      </c>
      <c r="G154" s="61" t="s">
        <v>1568</v>
      </c>
    </row>
    <row r="155" spans="1:7" s="1" customFormat="1" ht="31.5">
      <c r="A155" s="101" t="s">
        <v>1625</v>
      </c>
      <c r="B155" s="101" t="s">
        <v>1624</v>
      </c>
      <c r="C155" s="101" t="s">
        <v>1600</v>
      </c>
      <c r="D155" s="303">
        <v>1130</v>
      </c>
      <c r="E155" s="303">
        <v>1130</v>
      </c>
      <c r="F155" s="147">
        <v>1010.0940000000001</v>
      </c>
      <c r="G155" s="61" t="s">
        <v>1623</v>
      </c>
    </row>
    <row r="156" spans="1:7" s="1" customFormat="1">
      <c r="A156" s="103"/>
      <c r="B156" s="103"/>
      <c r="C156" s="103"/>
      <c r="D156" s="302"/>
      <c r="E156" s="302"/>
      <c r="F156" s="147">
        <v>14.768000000000001</v>
      </c>
      <c r="G156" s="61" t="s">
        <v>1567</v>
      </c>
    </row>
    <row r="157" spans="1:7" s="1" customFormat="1">
      <c r="A157" s="64"/>
      <c r="B157" s="64"/>
      <c r="C157" s="64"/>
      <c r="D157" s="301"/>
      <c r="E157" s="301"/>
      <c r="F157" s="147"/>
      <c r="G157" s="61"/>
    </row>
    <row r="158" spans="1:7" s="1" customFormat="1">
      <c r="A158" s="101" t="s">
        <v>1622</v>
      </c>
      <c r="B158" s="101" t="s">
        <v>1621</v>
      </c>
      <c r="C158" s="101" t="s">
        <v>1600</v>
      </c>
      <c r="D158" s="303">
        <v>855</v>
      </c>
      <c r="E158" s="303">
        <v>855</v>
      </c>
      <c r="F158" s="147">
        <v>89.853999999999999</v>
      </c>
      <c r="G158" s="61" t="s">
        <v>1568</v>
      </c>
    </row>
    <row r="159" spans="1:7" s="1" customFormat="1">
      <c r="A159" s="103"/>
      <c r="B159" s="103"/>
      <c r="C159" s="103"/>
      <c r="D159" s="302"/>
      <c r="E159" s="302"/>
      <c r="F159" s="147">
        <v>355.16800000000001</v>
      </c>
      <c r="G159" s="61" t="s">
        <v>1521</v>
      </c>
    </row>
    <row r="160" spans="1:7" s="1" customFormat="1">
      <c r="A160" s="103"/>
      <c r="B160" s="103"/>
      <c r="C160" s="103"/>
      <c r="D160" s="301"/>
      <c r="E160" s="301"/>
      <c r="F160" s="147"/>
      <c r="G160" s="61" t="s">
        <v>1567</v>
      </c>
    </row>
    <row r="161" spans="1:7" s="1" customFormat="1">
      <c r="A161" s="64"/>
      <c r="B161" s="64"/>
      <c r="C161" s="64"/>
      <c r="D161" s="300"/>
      <c r="E161" s="299"/>
      <c r="F161" s="147"/>
      <c r="G161" s="61" t="s">
        <v>1568</v>
      </c>
    </row>
    <row r="162" spans="1:7" s="1" customFormat="1">
      <c r="A162" s="101" t="s">
        <v>1620</v>
      </c>
      <c r="B162" s="101" t="s">
        <v>1619</v>
      </c>
      <c r="C162" s="101" t="s">
        <v>1600</v>
      </c>
      <c r="D162" s="303">
        <v>1790</v>
      </c>
      <c r="E162" s="303">
        <v>1790</v>
      </c>
      <c r="F162" s="147">
        <v>95.302000000000007</v>
      </c>
      <c r="G162" s="61" t="s">
        <v>1568</v>
      </c>
    </row>
    <row r="163" spans="1:7" s="1" customFormat="1">
      <c r="A163" s="103"/>
      <c r="B163" s="103"/>
      <c r="C163" s="103"/>
      <c r="D163" s="302"/>
      <c r="E163" s="302"/>
      <c r="F163" s="147">
        <v>1637.48</v>
      </c>
      <c r="G163" s="61" t="s">
        <v>1618</v>
      </c>
    </row>
    <row r="164" spans="1:7" s="1" customFormat="1">
      <c r="A164" s="103"/>
      <c r="B164" s="103"/>
      <c r="C164" s="103"/>
      <c r="D164" s="302"/>
      <c r="E164" s="302"/>
      <c r="F164" s="147">
        <v>21.036999999999999</v>
      </c>
      <c r="G164" s="61" t="s">
        <v>1567</v>
      </c>
    </row>
    <row r="165" spans="1:7" s="1" customFormat="1">
      <c r="A165" s="64"/>
      <c r="B165" s="64"/>
      <c r="C165" s="64"/>
      <c r="D165" s="301"/>
      <c r="E165" s="301"/>
      <c r="F165" s="147">
        <v>32.683999999999997</v>
      </c>
      <c r="G165" s="61" t="s">
        <v>1568</v>
      </c>
    </row>
    <row r="166" spans="1:7" s="1" customFormat="1">
      <c r="A166" s="101" t="s">
        <v>1617</v>
      </c>
      <c r="B166" s="101" t="s">
        <v>1616</v>
      </c>
      <c r="C166" s="101" t="s">
        <v>1600</v>
      </c>
      <c r="D166" s="303">
        <v>500</v>
      </c>
      <c r="E166" s="303">
        <v>65</v>
      </c>
      <c r="F166" s="147">
        <v>60.939</v>
      </c>
      <c r="G166" s="61" t="s">
        <v>1479</v>
      </c>
    </row>
    <row r="167" spans="1:7" s="1" customFormat="1">
      <c r="A167" s="103"/>
      <c r="B167" s="103"/>
      <c r="C167" s="103"/>
      <c r="D167" s="302"/>
      <c r="E167" s="302"/>
      <c r="F167" s="147"/>
      <c r="G167" s="61"/>
    </row>
    <row r="168" spans="1:7" s="1" customFormat="1">
      <c r="A168" s="64"/>
      <c r="B168" s="64"/>
      <c r="C168" s="64"/>
      <c r="D168" s="301"/>
      <c r="E168" s="301"/>
      <c r="F168" s="147"/>
      <c r="G168" s="61"/>
    </row>
    <row r="169" spans="1:7" s="1" customFormat="1">
      <c r="A169" s="101" t="s">
        <v>1615</v>
      </c>
      <c r="B169" s="101" t="s">
        <v>1614</v>
      </c>
      <c r="C169" s="101" t="s">
        <v>1600</v>
      </c>
      <c r="D169" s="303">
        <v>240</v>
      </c>
      <c r="E169" s="303">
        <v>40</v>
      </c>
      <c r="F169" s="147">
        <v>36.595999999999997</v>
      </c>
      <c r="G169" s="61" t="s">
        <v>1568</v>
      </c>
    </row>
    <row r="170" spans="1:7" s="1" customFormat="1">
      <c r="A170" s="103"/>
      <c r="B170" s="103"/>
      <c r="C170" s="103"/>
      <c r="D170" s="302"/>
      <c r="E170" s="302"/>
      <c r="F170" s="147"/>
      <c r="G170" s="61"/>
    </row>
    <row r="171" spans="1:7" s="1" customFormat="1">
      <c r="A171" s="64"/>
      <c r="B171" s="64"/>
      <c r="C171" s="64"/>
      <c r="D171" s="301"/>
      <c r="E171" s="301"/>
      <c r="F171" s="147"/>
      <c r="G171" s="61"/>
    </row>
    <row r="172" spans="1:7" s="1" customFormat="1">
      <c r="A172" s="101" t="s">
        <v>1613</v>
      </c>
      <c r="B172" s="101" t="s">
        <v>1612</v>
      </c>
      <c r="C172" s="101" t="s">
        <v>1600</v>
      </c>
      <c r="D172" s="303">
        <v>350</v>
      </c>
      <c r="E172" s="303"/>
      <c r="F172" s="147"/>
      <c r="G172" s="61"/>
    </row>
    <row r="173" spans="1:7" s="1" customFormat="1">
      <c r="A173" s="103"/>
      <c r="B173" s="103"/>
      <c r="C173" s="103"/>
      <c r="D173" s="302"/>
      <c r="E173" s="302"/>
      <c r="F173" s="147"/>
      <c r="G173" s="61"/>
    </row>
    <row r="174" spans="1:7" s="1" customFormat="1">
      <c r="A174" s="64"/>
      <c r="B174" s="64"/>
      <c r="C174" s="64"/>
      <c r="D174" s="301"/>
      <c r="E174" s="301"/>
      <c r="F174" s="147"/>
      <c r="G174" s="61"/>
    </row>
    <row r="175" spans="1:7" s="1" customFormat="1">
      <c r="A175" s="101" t="s">
        <v>1611</v>
      </c>
      <c r="B175" s="101" t="s">
        <v>1610</v>
      </c>
      <c r="C175" s="101" t="s">
        <v>1600</v>
      </c>
      <c r="D175" s="303">
        <v>200</v>
      </c>
      <c r="E175" s="303"/>
      <c r="F175" s="147"/>
      <c r="G175" s="61"/>
    </row>
    <row r="176" spans="1:7" s="1" customFormat="1">
      <c r="A176" s="103"/>
      <c r="B176" s="103"/>
      <c r="C176" s="103"/>
      <c r="D176" s="302"/>
      <c r="E176" s="302"/>
      <c r="F176" s="147"/>
      <c r="G176" s="61"/>
    </row>
    <row r="177" spans="1:7" s="1" customFormat="1">
      <c r="A177" s="64"/>
      <c r="B177" s="64"/>
      <c r="C177" s="64"/>
      <c r="D177" s="301"/>
      <c r="E177" s="301"/>
      <c r="F177" s="147"/>
      <c r="G177" s="61"/>
    </row>
    <row r="178" spans="1:7" s="1" customFormat="1">
      <c r="A178" s="101" t="s">
        <v>1609</v>
      </c>
      <c r="B178" s="101" t="s">
        <v>1608</v>
      </c>
      <c r="C178" s="101" t="s">
        <v>1600</v>
      </c>
      <c r="D178" s="303">
        <v>200</v>
      </c>
      <c r="E178" s="303">
        <v>30</v>
      </c>
      <c r="F178" s="147">
        <v>27.341999999999999</v>
      </c>
      <c r="G178" s="61" t="s">
        <v>1568</v>
      </c>
    </row>
    <row r="179" spans="1:7" s="1" customFormat="1">
      <c r="A179" s="103"/>
      <c r="B179" s="103"/>
      <c r="C179" s="103"/>
      <c r="D179" s="302"/>
      <c r="E179" s="302"/>
      <c r="F179" s="147"/>
      <c r="G179" s="61"/>
    </row>
    <row r="180" spans="1:7" s="1" customFormat="1">
      <c r="A180" s="64"/>
      <c r="B180" s="64"/>
      <c r="C180" s="64"/>
      <c r="D180" s="301"/>
      <c r="E180" s="301"/>
      <c r="F180" s="147"/>
      <c r="G180" s="61"/>
    </row>
    <row r="181" spans="1:7" s="1" customFormat="1">
      <c r="A181" s="101" t="s">
        <v>1607</v>
      </c>
      <c r="B181" s="101" t="s">
        <v>1606</v>
      </c>
      <c r="C181" s="101" t="s">
        <v>1600</v>
      </c>
      <c r="D181" s="303">
        <v>65</v>
      </c>
      <c r="E181" s="303">
        <v>65</v>
      </c>
      <c r="F181" s="147">
        <v>61.780999999999999</v>
      </c>
      <c r="G181" s="61" t="s">
        <v>1479</v>
      </c>
    </row>
    <row r="182" spans="1:7" s="1" customFormat="1">
      <c r="A182" s="103"/>
      <c r="B182" s="103"/>
      <c r="C182" s="103"/>
      <c r="D182" s="302"/>
      <c r="E182" s="302"/>
      <c r="F182" s="147"/>
      <c r="G182" s="61"/>
    </row>
    <row r="183" spans="1:7" s="1" customFormat="1">
      <c r="A183" s="64"/>
      <c r="B183" s="64"/>
      <c r="C183" s="64"/>
      <c r="D183" s="301"/>
      <c r="E183" s="301"/>
      <c r="F183" s="147"/>
      <c r="G183" s="61"/>
    </row>
    <row r="184" spans="1:7" s="1" customFormat="1">
      <c r="A184" s="101" t="s">
        <v>1605</v>
      </c>
      <c r="B184" s="101" t="s">
        <v>1604</v>
      </c>
      <c r="C184" s="101" t="s">
        <v>1600</v>
      </c>
      <c r="D184" s="303">
        <v>440</v>
      </c>
      <c r="E184" s="303">
        <v>440</v>
      </c>
      <c r="F184" s="147">
        <v>50.192</v>
      </c>
      <c r="G184" s="61" t="s">
        <v>1568</v>
      </c>
    </row>
    <row r="185" spans="1:7" s="1" customFormat="1">
      <c r="A185" s="103"/>
      <c r="B185" s="103"/>
      <c r="C185" s="103"/>
      <c r="D185" s="302"/>
      <c r="E185" s="302"/>
      <c r="F185" s="147">
        <v>332.14800000000002</v>
      </c>
      <c r="G185" s="61" t="s">
        <v>1603</v>
      </c>
    </row>
    <row r="186" spans="1:7" s="1" customFormat="1">
      <c r="A186" s="103"/>
      <c r="B186" s="103"/>
      <c r="C186" s="103"/>
      <c r="D186" s="302"/>
      <c r="E186" s="302"/>
      <c r="F186" s="147">
        <v>4.2530000000000001</v>
      </c>
      <c r="G186" s="61" t="s">
        <v>1567</v>
      </c>
    </row>
    <row r="187" spans="1:7" s="1" customFormat="1">
      <c r="A187" s="103"/>
      <c r="B187" s="103"/>
      <c r="C187" s="103"/>
      <c r="D187" s="302"/>
      <c r="E187" s="302"/>
      <c r="F187" s="147">
        <v>14.211</v>
      </c>
      <c r="G187" s="61" t="s">
        <v>1568</v>
      </c>
    </row>
    <row r="188" spans="1:7" s="1" customFormat="1">
      <c r="A188" s="64"/>
      <c r="B188" s="64"/>
      <c r="C188" s="64"/>
      <c r="D188" s="301"/>
      <c r="E188" s="301"/>
      <c r="F188" s="147"/>
      <c r="G188" s="61"/>
    </row>
    <row r="189" spans="1:7" s="1" customFormat="1">
      <c r="A189" s="101" t="s">
        <v>1602</v>
      </c>
      <c r="B189" s="101" t="s">
        <v>1601</v>
      </c>
      <c r="C189" s="101" t="s">
        <v>1600</v>
      </c>
      <c r="D189" s="303">
        <v>880</v>
      </c>
      <c r="E189" s="303">
        <v>880</v>
      </c>
      <c r="F189" s="147">
        <v>86.638999999999996</v>
      </c>
      <c r="G189" s="61" t="s">
        <v>1568</v>
      </c>
    </row>
    <row r="190" spans="1:7" s="1" customFormat="1">
      <c r="A190" s="103"/>
      <c r="B190" s="103"/>
      <c r="C190" s="103"/>
      <c r="D190" s="302"/>
      <c r="E190" s="302"/>
      <c r="F190" s="147">
        <v>17.052</v>
      </c>
      <c r="G190" s="61" t="s">
        <v>1568</v>
      </c>
    </row>
    <row r="191" spans="1:7" s="1" customFormat="1">
      <c r="A191" s="103"/>
      <c r="B191" s="103"/>
      <c r="C191" s="103"/>
      <c r="D191" s="301"/>
      <c r="E191" s="301"/>
      <c r="F191" s="147">
        <v>697.16800000000001</v>
      </c>
      <c r="G191" s="61" t="s">
        <v>1417</v>
      </c>
    </row>
    <row r="192" spans="1:7" s="1" customFormat="1">
      <c r="A192" s="64"/>
      <c r="B192" s="64"/>
      <c r="C192" s="64"/>
      <c r="D192" s="300"/>
      <c r="E192" s="299"/>
      <c r="F192" s="147"/>
      <c r="G192" s="61" t="s">
        <v>1567</v>
      </c>
    </row>
    <row r="193" spans="1:7" s="1" customFormat="1">
      <c r="A193" s="225" t="s">
        <v>1599</v>
      </c>
      <c r="B193" s="223"/>
      <c r="C193" s="145"/>
      <c r="D193" s="279">
        <f>SUM(D152:D192)</f>
        <v>7500</v>
      </c>
      <c r="E193" s="279">
        <f>SUM(E152:E192)</f>
        <v>6145</v>
      </c>
      <c r="F193" s="278">
        <f>SUM(F152:F192)</f>
        <v>5428.677999999999</v>
      </c>
      <c r="G193" s="61"/>
    </row>
    <row r="194" spans="1:7" s="1" customFormat="1">
      <c r="A194" s="101" t="s">
        <v>1598</v>
      </c>
      <c r="B194" s="101" t="s">
        <v>1597</v>
      </c>
      <c r="C194" s="101" t="s">
        <v>1596</v>
      </c>
      <c r="D194" s="291">
        <v>350</v>
      </c>
      <c r="E194" s="291">
        <v>350</v>
      </c>
      <c r="F194" s="296"/>
      <c r="G194" s="61"/>
    </row>
    <row r="195" spans="1:7" s="1" customFormat="1">
      <c r="A195" s="103"/>
      <c r="B195" s="103"/>
      <c r="C195" s="103"/>
      <c r="D195" s="297"/>
      <c r="E195" s="297"/>
      <c r="F195" s="298"/>
      <c r="G195" s="61" t="s">
        <v>1595</v>
      </c>
    </row>
    <row r="196" spans="1:7" s="1" customFormat="1">
      <c r="A196" s="103"/>
      <c r="B196" s="103"/>
      <c r="C196" s="103"/>
      <c r="D196" s="297"/>
      <c r="E196" s="297"/>
      <c r="F196" s="296"/>
      <c r="G196" s="61"/>
    </row>
    <row r="197" spans="1:7" s="1" customFormat="1">
      <c r="A197" s="100"/>
      <c r="B197" s="100"/>
      <c r="C197" s="100"/>
      <c r="D197" s="290"/>
      <c r="E197" s="290"/>
      <c r="F197" s="296"/>
      <c r="G197" s="61"/>
    </row>
    <row r="198" spans="1:7" s="1" customFormat="1">
      <c r="A198" s="225" t="s">
        <v>1594</v>
      </c>
      <c r="B198" s="223"/>
      <c r="C198" s="145"/>
      <c r="D198" s="279">
        <f>SUM(D194:D197)</f>
        <v>350</v>
      </c>
      <c r="E198" s="279">
        <f>SUM(E194:E197)</f>
        <v>350</v>
      </c>
      <c r="F198" s="278">
        <f>SUM(F194:F197)</f>
        <v>0</v>
      </c>
      <c r="G198" s="61"/>
    </row>
    <row r="199" spans="1:7" s="1" customFormat="1">
      <c r="A199" s="101" t="s">
        <v>1593</v>
      </c>
      <c r="B199" s="101" t="s">
        <v>1592</v>
      </c>
      <c r="C199" s="101" t="s">
        <v>1591</v>
      </c>
      <c r="D199" s="288">
        <v>5460</v>
      </c>
      <c r="E199" s="295">
        <v>3410</v>
      </c>
      <c r="F199" s="147">
        <v>870.51800000000003</v>
      </c>
      <c r="G199" s="61" t="s">
        <v>1590</v>
      </c>
    </row>
    <row r="200" spans="1:7" s="1" customFormat="1">
      <c r="A200" s="103"/>
      <c r="B200" s="103"/>
      <c r="C200" s="103"/>
      <c r="D200" s="287"/>
      <c r="E200" s="294"/>
      <c r="F200" s="292"/>
      <c r="G200" s="61"/>
    </row>
    <row r="201" spans="1:7" s="1" customFormat="1">
      <c r="A201" s="64"/>
      <c r="B201" s="64"/>
      <c r="C201" s="64"/>
      <c r="D201" s="286"/>
      <c r="E201" s="293"/>
      <c r="F201" s="292"/>
      <c r="G201" s="61"/>
    </row>
    <row r="202" spans="1:7" s="1" customFormat="1">
      <c r="A202" s="225" t="s">
        <v>1589</v>
      </c>
      <c r="B202" s="223"/>
      <c r="C202" s="145"/>
      <c r="D202" s="279">
        <f>SUM(D199:D201)</f>
        <v>5460</v>
      </c>
      <c r="E202" s="279">
        <f>SUM(E199:E201)</f>
        <v>3410</v>
      </c>
      <c r="F202" s="278">
        <f>SUM(F199:F201)</f>
        <v>870.51800000000003</v>
      </c>
      <c r="G202" s="61"/>
    </row>
    <row r="203" spans="1:7" s="1" customFormat="1">
      <c r="A203" s="101" t="s">
        <v>1588</v>
      </c>
      <c r="B203" s="101" t="s">
        <v>1587</v>
      </c>
      <c r="C203" s="101" t="s">
        <v>1427</v>
      </c>
      <c r="D203" s="291">
        <v>299</v>
      </c>
      <c r="E203" s="283">
        <v>299</v>
      </c>
      <c r="F203" s="289"/>
      <c r="G203" s="61"/>
    </row>
    <row r="204" spans="1:7" s="1" customFormat="1">
      <c r="A204" s="100"/>
      <c r="B204" s="100"/>
      <c r="C204" s="100"/>
      <c r="D204" s="290"/>
      <c r="E204" s="281"/>
      <c r="F204" s="289"/>
      <c r="G204" s="61"/>
    </row>
    <row r="205" spans="1:7" s="1" customFormat="1">
      <c r="A205" s="225" t="s">
        <v>1586</v>
      </c>
      <c r="B205" s="223"/>
      <c r="C205" s="145"/>
      <c r="D205" s="279">
        <f>SUM(D203:D204)</f>
        <v>299</v>
      </c>
      <c r="E205" s="279">
        <f>SUM(E203:E204)</f>
        <v>299</v>
      </c>
      <c r="F205" s="278">
        <f>SUM(F203:F204)</f>
        <v>0</v>
      </c>
      <c r="G205" s="61"/>
    </row>
    <row r="206" spans="1:7" s="1" customFormat="1" ht="31.5">
      <c r="A206" s="101" t="s">
        <v>1585</v>
      </c>
      <c r="B206" s="101" t="s">
        <v>1584</v>
      </c>
      <c r="C206" s="101" t="s">
        <v>1579</v>
      </c>
      <c r="D206" s="288">
        <v>1094</v>
      </c>
      <c r="E206" s="202">
        <v>1094</v>
      </c>
      <c r="F206" s="148">
        <v>1068.8</v>
      </c>
      <c r="G206" s="61" t="s">
        <v>1576</v>
      </c>
    </row>
    <row r="207" spans="1:7" s="1" customFormat="1">
      <c r="A207" s="103"/>
      <c r="B207" s="103"/>
      <c r="C207" s="103"/>
      <c r="D207" s="287"/>
      <c r="E207" s="198"/>
      <c r="F207" s="148">
        <v>13.978999999999999</v>
      </c>
      <c r="G207" s="61" t="s">
        <v>1567</v>
      </c>
    </row>
    <row r="208" spans="1:7" s="1" customFormat="1">
      <c r="A208" s="103"/>
      <c r="B208" s="103"/>
      <c r="C208" s="103"/>
      <c r="D208" s="286"/>
      <c r="E208" s="196"/>
      <c r="F208" s="148">
        <v>10.8</v>
      </c>
      <c r="G208" s="61" t="s">
        <v>1568</v>
      </c>
    </row>
    <row r="209" spans="1:7" s="1" customFormat="1" ht="31.5">
      <c r="A209" s="101" t="s">
        <v>1583</v>
      </c>
      <c r="B209" s="101" t="s">
        <v>1582</v>
      </c>
      <c r="C209" s="101" t="s">
        <v>1579</v>
      </c>
      <c r="D209" s="288">
        <v>753</v>
      </c>
      <c r="E209" s="202">
        <v>753</v>
      </c>
      <c r="F209" s="148">
        <v>732.02</v>
      </c>
      <c r="G209" s="61" t="s">
        <v>1576</v>
      </c>
    </row>
    <row r="210" spans="1:7" s="1" customFormat="1">
      <c r="A210" s="103"/>
      <c r="B210" s="103"/>
      <c r="C210" s="103"/>
      <c r="D210" s="287"/>
      <c r="E210" s="198"/>
      <c r="F210" s="148">
        <v>9.5839999999999996</v>
      </c>
      <c r="G210" s="61" t="s">
        <v>1567</v>
      </c>
    </row>
    <row r="211" spans="1:7" s="1" customFormat="1">
      <c r="A211" s="100"/>
      <c r="B211" s="100"/>
      <c r="C211" s="100"/>
      <c r="D211" s="286"/>
      <c r="E211" s="196"/>
      <c r="F211" s="148">
        <v>10.8</v>
      </c>
      <c r="G211" s="61" t="s">
        <v>1568</v>
      </c>
    </row>
    <row r="212" spans="1:7" s="1" customFormat="1" ht="31.5">
      <c r="A212" s="101" t="s">
        <v>1581</v>
      </c>
      <c r="B212" s="101" t="s">
        <v>1580</v>
      </c>
      <c r="C212" s="101" t="s">
        <v>1579</v>
      </c>
      <c r="D212" s="288">
        <v>1222</v>
      </c>
      <c r="E212" s="202">
        <v>1222</v>
      </c>
      <c r="F212" s="148">
        <v>1197.31</v>
      </c>
      <c r="G212" s="61" t="s">
        <v>1576</v>
      </c>
    </row>
    <row r="213" spans="1:7" s="1" customFormat="1">
      <c r="A213" s="103"/>
      <c r="B213" s="103"/>
      <c r="C213" s="103"/>
      <c r="D213" s="287"/>
      <c r="E213" s="198"/>
      <c r="F213" s="148">
        <v>15.7</v>
      </c>
      <c r="G213" s="61" t="s">
        <v>1567</v>
      </c>
    </row>
    <row r="214" spans="1:7" s="1" customFormat="1">
      <c r="A214" s="100"/>
      <c r="B214" s="100"/>
      <c r="C214" s="100"/>
      <c r="D214" s="286"/>
      <c r="E214" s="196"/>
      <c r="F214" s="148">
        <v>8.1</v>
      </c>
      <c r="G214" s="61" t="s">
        <v>1568</v>
      </c>
    </row>
    <row r="215" spans="1:7" s="1" customFormat="1" ht="31.5">
      <c r="A215" s="101" t="s">
        <v>1578</v>
      </c>
      <c r="B215" s="101" t="s">
        <v>1577</v>
      </c>
      <c r="C215" s="101" t="s">
        <v>1355</v>
      </c>
      <c r="D215" s="285">
        <v>395</v>
      </c>
      <c r="E215" s="202">
        <v>395</v>
      </c>
      <c r="F215" s="148">
        <v>385.62400000000002</v>
      </c>
      <c r="G215" s="61" t="s">
        <v>1576</v>
      </c>
    </row>
    <row r="216" spans="1:7" s="1" customFormat="1">
      <c r="A216" s="103"/>
      <c r="B216" s="103"/>
      <c r="C216" s="103"/>
      <c r="D216" s="285"/>
      <c r="E216" s="198"/>
      <c r="F216" s="148"/>
      <c r="G216" s="61"/>
    </row>
    <row r="217" spans="1:7" s="1" customFormat="1">
      <c r="A217" s="103"/>
      <c r="B217" s="103"/>
      <c r="C217" s="103"/>
      <c r="D217" s="285"/>
      <c r="E217" s="198"/>
      <c r="F217" s="148"/>
      <c r="G217" s="61" t="s">
        <v>1567</v>
      </c>
    </row>
    <row r="218" spans="1:7" s="1" customFormat="1">
      <c r="A218" s="100"/>
      <c r="B218" s="100"/>
      <c r="C218" s="100"/>
      <c r="D218" s="285"/>
      <c r="E218" s="196"/>
      <c r="F218" s="148">
        <v>3.24</v>
      </c>
      <c r="G218" s="61" t="s">
        <v>1568</v>
      </c>
    </row>
    <row r="219" spans="1:7" s="1" customFormat="1">
      <c r="A219" s="101" t="s">
        <v>1575</v>
      </c>
      <c r="B219" s="101" t="s">
        <v>1574</v>
      </c>
      <c r="C219" s="101" t="s">
        <v>1573</v>
      </c>
      <c r="D219" s="285">
        <v>1716</v>
      </c>
      <c r="E219" s="202">
        <v>1320.2249999999999</v>
      </c>
      <c r="F219" s="148">
        <v>96.572000000000003</v>
      </c>
      <c r="G219" s="61" t="s">
        <v>1572</v>
      </c>
    </row>
    <row r="220" spans="1:7" s="1" customFormat="1">
      <c r="A220" s="103"/>
      <c r="B220" s="103"/>
      <c r="C220" s="103"/>
      <c r="D220" s="285"/>
      <c r="E220" s="198"/>
      <c r="F220" s="148"/>
      <c r="G220" s="61"/>
    </row>
    <row r="221" spans="1:7" s="1" customFormat="1">
      <c r="A221" s="103"/>
      <c r="B221" s="103"/>
      <c r="C221" s="103"/>
      <c r="D221" s="285"/>
      <c r="E221" s="198"/>
      <c r="F221" s="148"/>
      <c r="G221" s="61"/>
    </row>
    <row r="222" spans="1:7" s="1" customFormat="1">
      <c r="A222" s="100"/>
      <c r="B222" s="100"/>
      <c r="C222" s="100"/>
      <c r="D222" s="285"/>
      <c r="E222" s="196"/>
      <c r="F222" s="148"/>
      <c r="G222" s="61"/>
    </row>
    <row r="223" spans="1:7" s="1" customFormat="1">
      <c r="A223" s="101" t="s">
        <v>1571</v>
      </c>
      <c r="B223" s="101" t="s">
        <v>1570</v>
      </c>
      <c r="C223" s="101" t="s">
        <v>1569</v>
      </c>
      <c r="D223" s="285">
        <v>1320</v>
      </c>
      <c r="E223" s="202">
        <v>1320</v>
      </c>
      <c r="F223" s="148">
        <v>109.839</v>
      </c>
      <c r="G223" s="61" t="s">
        <v>1568</v>
      </c>
    </row>
    <row r="224" spans="1:7" s="1" customFormat="1">
      <c r="A224" s="103"/>
      <c r="B224" s="103"/>
      <c r="C224" s="103"/>
      <c r="D224" s="285"/>
      <c r="E224" s="198"/>
      <c r="F224" s="148">
        <v>17.052</v>
      </c>
      <c r="G224" s="61" t="s">
        <v>1568</v>
      </c>
    </row>
    <row r="225" spans="1:7" s="1" customFormat="1">
      <c r="A225" s="103"/>
      <c r="B225" s="103"/>
      <c r="C225" s="103"/>
      <c r="D225" s="285"/>
      <c r="E225" s="198"/>
      <c r="F225" s="148">
        <v>14.920999999999999</v>
      </c>
      <c r="G225" s="61" t="s">
        <v>1567</v>
      </c>
    </row>
    <row r="226" spans="1:7" s="1" customFormat="1">
      <c r="A226" s="100"/>
      <c r="B226" s="100"/>
      <c r="C226" s="100"/>
      <c r="D226" s="285"/>
      <c r="E226" s="196"/>
      <c r="F226" s="148">
        <v>1156.722</v>
      </c>
      <c r="G226" s="61" t="s">
        <v>1566</v>
      </c>
    </row>
    <row r="227" spans="1:7" s="1" customFormat="1">
      <c r="A227" s="225" t="s">
        <v>1565</v>
      </c>
      <c r="B227" s="223"/>
      <c r="C227" s="145"/>
      <c r="D227" s="279">
        <f>SUM(D206:D226)</f>
        <v>6500</v>
      </c>
      <c r="E227" s="279">
        <f>SUM(E206:E226)</f>
        <v>6104.2250000000004</v>
      </c>
      <c r="F227" s="279">
        <f>SUM(F206:F226)</f>
        <v>4851.0629999999992</v>
      </c>
      <c r="G227" s="61"/>
    </row>
    <row r="228" spans="1:7" s="1" customFormat="1">
      <c r="A228" s="284" t="s">
        <v>1564</v>
      </c>
      <c r="B228" s="284" t="s">
        <v>1563</v>
      </c>
      <c r="C228" s="284" t="s">
        <v>1562</v>
      </c>
      <c r="D228" s="283">
        <v>200</v>
      </c>
      <c r="E228" s="283">
        <v>200</v>
      </c>
      <c r="F228" s="280">
        <v>142.93600000000001</v>
      </c>
      <c r="G228" s="61" t="s">
        <v>1561</v>
      </c>
    </row>
    <row r="229" spans="1:7" s="1" customFormat="1">
      <c r="A229" s="91"/>
      <c r="B229" s="91"/>
      <c r="C229" s="91"/>
      <c r="D229" s="282"/>
      <c r="E229" s="282"/>
      <c r="F229" s="280"/>
      <c r="G229" s="61"/>
    </row>
    <row r="230" spans="1:7" s="1" customFormat="1">
      <c r="A230" s="64"/>
      <c r="B230" s="64"/>
      <c r="C230" s="64"/>
      <c r="D230" s="281"/>
      <c r="E230" s="281"/>
      <c r="F230" s="280"/>
      <c r="G230" s="61"/>
    </row>
    <row r="231" spans="1:7" s="1" customFormat="1">
      <c r="A231" s="284" t="s">
        <v>1560</v>
      </c>
      <c r="B231" s="284" t="s">
        <v>1559</v>
      </c>
      <c r="C231" s="284" t="s">
        <v>1558</v>
      </c>
      <c r="D231" s="283">
        <v>1000</v>
      </c>
      <c r="E231" s="283">
        <v>1000</v>
      </c>
      <c r="F231" s="280">
        <v>982</v>
      </c>
      <c r="G231" s="74" t="s">
        <v>1557</v>
      </c>
    </row>
    <row r="232" spans="1:7" s="1" customFormat="1" ht="31.5">
      <c r="A232" s="91"/>
      <c r="B232" s="91"/>
      <c r="C232" s="91"/>
      <c r="D232" s="282"/>
      <c r="E232" s="282"/>
      <c r="F232" s="280">
        <v>13.542</v>
      </c>
      <c r="G232" s="51" t="s">
        <v>1556</v>
      </c>
    </row>
    <row r="233" spans="1:7" s="1" customFormat="1">
      <c r="A233" s="64"/>
      <c r="B233" s="64"/>
      <c r="C233" s="64"/>
      <c r="D233" s="281"/>
      <c r="E233" s="281"/>
      <c r="F233" s="280"/>
      <c r="G233" s="61"/>
    </row>
    <row r="234" spans="1:7" s="1" customFormat="1">
      <c r="A234" s="225" t="s">
        <v>1555</v>
      </c>
      <c r="B234" s="223"/>
      <c r="C234" s="145"/>
      <c r="D234" s="279">
        <f>SUM(D228:D233)</f>
        <v>1200</v>
      </c>
      <c r="E234" s="279">
        <f>SUM(E228:E233)</f>
        <v>1200</v>
      </c>
      <c r="F234" s="279">
        <f>SUM(F228:F233)</f>
        <v>1138.4779999999998</v>
      </c>
      <c r="G234" s="61"/>
    </row>
    <row r="235" spans="1:7" s="1" customFormat="1">
      <c r="A235" s="145"/>
      <c r="B235" s="145"/>
      <c r="C235" s="145"/>
      <c r="D235" s="278"/>
      <c r="E235" s="278"/>
      <c r="F235" s="278"/>
      <c r="G235" s="61"/>
    </row>
    <row r="236" spans="1:7" s="1" customFormat="1">
      <c r="A236" s="277" t="s">
        <v>1</v>
      </c>
      <c r="B236" s="277"/>
      <c r="C236" s="277"/>
      <c r="D236" s="276">
        <f>D113+D142+D151+D193+D198+D202+D205+D227+D234</f>
        <v>27429</v>
      </c>
      <c r="E236" s="276">
        <f>E113+E142+E151+E193+E198+E202+E205+E227+E234</f>
        <v>23628.224999999999</v>
      </c>
      <c r="F236" s="276">
        <f>F113+F142+F151+F193+F198+F202+F205+F227+F234</f>
        <v>17026.026999999998</v>
      </c>
      <c r="G236" s="162" t="s">
        <v>0</v>
      </c>
    </row>
    <row r="237" spans="1:7" s="1" customFormat="1">
      <c r="A237" s="183" t="s">
        <v>1554</v>
      </c>
      <c r="B237" s="183"/>
      <c r="C237" s="183"/>
      <c r="D237" s="183"/>
      <c r="E237" s="183"/>
      <c r="F237" s="183"/>
      <c r="G237" s="183"/>
    </row>
    <row r="238" spans="1:7" s="1" customFormat="1" ht="47.25">
      <c r="A238" s="51" t="s">
        <v>1553</v>
      </c>
      <c r="B238" s="51" t="s">
        <v>1552</v>
      </c>
      <c r="C238" s="51" t="s">
        <v>1546</v>
      </c>
      <c r="D238" s="275">
        <v>900</v>
      </c>
      <c r="E238" s="275">
        <v>900</v>
      </c>
      <c r="F238" s="275">
        <v>899.24938000000009</v>
      </c>
      <c r="G238" s="51" t="s">
        <v>1551</v>
      </c>
    </row>
    <row r="239" spans="1:7" s="1" customFormat="1" ht="47.25">
      <c r="A239" s="51" t="s">
        <v>1550</v>
      </c>
      <c r="B239" s="51" t="s">
        <v>1549</v>
      </c>
      <c r="C239" s="51" t="s">
        <v>1546</v>
      </c>
      <c r="D239" s="275">
        <v>299</v>
      </c>
      <c r="E239" s="275">
        <v>299</v>
      </c>
      <c r="F239" s="275">
        <v>292.34086000000002</v>
      </c>
      <c r="G239" s="51" t="s">
        <v>1502</v>
      </c>
    </row>
    <row r="240" spans="1:7" s="1" customFormat="1" ht="63">
      <c r="A240" s="51" t="s">
        <v>1548</v>
      </c>
      <c r="B240" s="51" t="s">
        <v>1547</v>
      </c>
      <c r="C240" s="51" t="s">
        <v>1546</v>
      </c>
      <c r="D240" s="275">
        <v>74</v>
      </c>
      <c r="E240" s="275">
        <v>74</v>
      </c>
      <c r="F240" s="275">
        <v>73.218000000000004</v>
      </c>
      <c r="G240" s="51" t="s">
        <v>1545</v>
      </c>
    </row>
    <row r="241" spans="1:7" s="1" customFormat="1" ht="78.75">
      <c r="A241" s="51" t="s">
        <v>1544</v>
      </c>
      <c r="B241" s="51" t="s">
        <v>1543</v>
      </c>
      <c r="C241" s="51" t="s">
        <v>1534</v>
      </c>
      <c r="D241" s="275">
        <v>1397.2199000000001</v>
      </c>
      <c r="E241" s="275">
        <v>37.602989999999998</v>
      </c>
      <c r="F241" s="275">
        <v>37.602989999999998</v>
      </c>
      <c r="G241" s="51" t="s">
        <v>1533</v>
      </c>
    </row>
    <row r="242" spans="1:7" s="1" customFormat="1" ht="78.75">
      <c r="A242" s="51" t="s">
        <v>1542</v>
      </c>
      <c r="B242" s="51" t="s">
        <v>1541</v>
      </c>
      <c r="C242" s="51" t="s">
        <v>1534</v>
      </c>
      <c r="D242" s="275">
        <v>3329.4</v>
      </c>
      <c r="E242" s="275">
        <v>2173.2169100000001</v>
      </c>
      <c r="F242" s="275">
        <v>28.245909999999999</v>
      </c>
      <c r="G242" s="51" t="s">
        <v>1533</v>
      </c>
    </row>
    <row r="243" spans="1:7" s="1" customFormat="1" ht="63">
      <c r="A243" s="51" t="s">
        <v>1540</v>
      </c>
      <c r="B243" s="51" t="s">
        <v>1539</v>
      </c>
      <c r="C243" s="51" t="s">
        <v>1534</v>
      </c>
      <c r="D243" s="275">
        <v>3333.00083</v>
      </c>
      <c r="E243" s="275">
        <v>3333.00083</v>
      </c>
      <c r="F243" s="275">
        <v>3333.00083</v>
      </c>
      <c r="G243" s="51" t="s">
        <v>1489</v>
      </c>
    </row>
    <row r="244" spans="1:7" s="1" customFormat="1" ht="47.25">
      <c r="A244" s="51" t="s">
        <v>1538</v>
      </c>
      <c r="B244" s="51" t="s">
        <v>1537</v>
      </c>
      <c r="C244" s="51" t="s">
        <v>1534</v>
      </c>
      <c r="D244" s="275">
        <v>88.738320000000002</v>
      </c>
      <c r="E244" s="275">
        <v>88.738320000000002</v>
      </c>
      <c r="F244" s="275">
        <v>88.738320000000002</v>
      </c>
      <c r="G244" s="51" t="s">
        <v>1479</v>
      </c>
    </row>
    <row r="245" spans="1:7" s="1" customFormat="1" ht="63">
      <c r="A245" s="51" t="s">
        <v>1536</v>
      </c>
      <c r="B245" s="51" t="s">
        <v>1535</v>
      </c>
      <c r="C245" s="51" t="s">
        <v>1534</v>
      </c>
      <c r="D245" s="275">
        <v>77.640950000000004</v>
      </c>
      <c r="E245" s="275">
        <v>77.640950000000004</v>
      </c>
      <c r="F245" s="275">
        <v>77.640950000000004</v>
      </c>
      <c r="G245" s="51" t="s">
        <v>1533</v>
      </c>
    </row>
    <row r="246" spans="1:7" s="1" customFormat="1" ht="47.25">
      <c r="A246" s="51" t="s">
        <v>1532</v>
      </c>
      <c r="B246" s="51" t="s">
        <v>1531</v>
      </c>
      <c r="C246" s="51" t="s">
        <v>1362</v>
      </c>
      <c r="D246" s="275">
        <v>293.5</v>
      </c>
      <c r="E246" s="275">
        <v>293.5</v>
      </c>
      <c r="F246" s="275">
        <v>281.77211999999997</v>
      </c>
      <c r="G246" s="51" t="s">
        <v>348</v>
      </c>
    </row>
    <row r="247" spans="1:7" s="1" customFormat="1" ht="47.25">
      <c r="A247" s="51" t="s">
        <v>1530</v>
      </c>
      <c r="B247" s="51" t="s">
        <v>1529</v>
      </c>
      <c r="C247" s="51" t="s">
        <v>1514</v>
      </c>
      <c r="D247" s="275">
        <v>2197</v>
      </c>
      <c r="E247" s="275">
        <v>1448.49315</v>
      </c>
      <c r="F247" s="275">
        <v>644.38220000000001</v>
      </c>
      <c r="G247" s="51" t="s">
        <v>1509</v>
      </c>
    </row>
    <row r="248" spans="1:7" s="1" customFormat="1" ht="47.25">
      <c r="A248" s="51" t="s">
        <v>1528</v>
      </c>
      <c r="B248" s="51" t="s">
        <v>1527</v>
      </c>
      <c r="C248" s="51" t="s">
        <v>1514</v>
      </c>
      <c r="D248" s="275">
        <v>1321</v>
      </c>
      <c r="E248" s="275">
        <v>1320.98612</v>
      </c>
      <c r="F248" s="275">
        <v>1320.98612</v>
      </c>
      <c r="G248" s="51" t="s">
        <v>1521</v>
      </c>
    </row>
    <row r="249" spans="1:7" s="1" customFormat="1" ht="47.25">
      <c r="A249" s="51" t="s">
        <v>1526</v>
      </c>
      <c r="B249" s="51" t="s">
        <v>1525</v>
      </c>
      <c r="C249" s="51" t="s">
        <v>1514</v>
      </c>
      <c r="D249" s="275">
        <v>918.1</v>
      </c>
      <c r="E249" s="275">
        <v>918.06071999999995</v>
      </c>
      <c r="F249" s="275">
        <v>918.06071999999995</v>
      </c>
      <c r="G249" s="51" t="s">
        <v>1524</v>
      </c>
    </row>
    <row r="250" spans="1:7" s="1" customFormat="1" ht="47.25">
      <c r="A250" s="51" t="s">
        <v>1523</v>
      </c>
      <c r="B250" s="51" t="s">
        <v>1522</v>
      </c>
      <c r="C250" s="51" t="s">
        <v>1514</v>
      </c>
      <c r="D250" s="275">
        <v>644.9</v>
      </c>
      <c r="E250" s="275">
        <v>644.56174999999996</v>
      </c>
      <c r="F250" s="275">
        <v>644.56174999999996</v>
      </c>
      <c r="G250" s="51" t="s">
        <v>1521</v>
      </c>
    </row>
    <row r="251" spans="1:7" s="1" customFormat="1" ht="47.25">
      <c r="A251" s="51" t="s">
        <v>625</v>
      </c>
      <c r="B251" s="51" t="s">
        <v>1520</v>
      </c>
      <c r="C251" s="51" t="s">
        <v>1514</v>
      </c>
      <c r="D251" s="275">
        <v>3500</v>
      </c>
      <c r="E251" s="275">
        <v>850.27413000000001</v>
      </c>
      <c r="F251" s="275"/>
      <c r="G251" s="51"/>
    </row>
    <row r="252" spans="1:7" s="1" customFormat="1" ht="47.25">
      <c r="A252" s="51" t="s">
        <v>1519</v>
      </c>
      <c r="B252" s="51" t="s">
        <v>1518</v>
      </c>
      <c r="C252" s="51" t="s">
        <v>1514</v>
      </c>
      <c r="D252" s="275">
        <v>219</v>
      </c>
      <c r="E252" s="275">
        <v>217.62413000000001</v>
      </c>
      <c r="F252" s="275">
        <v>217.62413000000001</v>
      </c>
      <c r="G252" s="51" t="s">
        <v>1517</v>
      </c>
    </row>
    <row r="253" spans="1:7" s="1" customFormat="1" ht="63">
      <c r="A253" s="51" t="s">
        <v>1516</v>
      </c>
      <c r="B253" s="51" t="s">
        <v>1515</v>
      </c>
      <c r="C253" s="51" t="s">
        <v>1514</v>
      </c>
      <c r="D253" s="275">
        <v>1000</v>
      </c>
      <c r="E253" s="275">
        <v>1000</v>
      </c>
      <c r="F253" s="275">
        <v>974.26800000000003</v>
      </c>
      <c r="G253" s="51" t="s">
        <v>1513</v>
      </c>
    </row>
    <row r="254" spans="1:7" s="1" customFormat="1" ht="63">
      <c r="A254" s="51" t="s">
        <v>1512</v>
      </c>
      <c r="B254" s="51" t="s">
        <v>1511</v>
      </c>
      <c r="C254" s="51" t="s">
        <v>1510</v>
      </c>
      <c r="D254" s="275">
        <v>1660</v>
      </c>
      <c r="E254" s="275">
        <v>1660</v>
      </c>
      <c r="F254" s="275">
        <v>513.56150000000002</v>
      </c>
      <c r="G254" s="51" t="s">
        <v>1509</v>
      </c>
    </row>
    <row r="255" spans="1:7" s="1" customFormat="1" ht="31.5">
      <c r="A255" s="51" t="s">
        <v>1508</v>
      </c>
      <c r="B255" s="51" t="s">
        <v>1507</v>
      </c>
      <c r="C255" s="51" t="s">
        <v>1506</v>
      </c>
      <c r="D255" s="275">
        <v>100</v>
      </c>
      <c r="E255" s="275">
        <v>100</v>
      </c>
      <c r="F255" s="275"/>
      <c r="G255" s="51"/>
    </row>
    <row r="256" spans="1:7" s="1" customFormat="1" ht="63">
      <c r="A256" s="51" t="s">
        <v>1505</v>
      </c>
      <c r="B256" s="51" t="s">
        <v>1504</v>
      </c>
      <c r="C256" s="51" t="s">
        <v>1503</v>
      </c>
      <c r="D256" s="275">
        <v>990</v>
      </c>
      <c r="E256" s="275">
        <v>990</v>
      </c>
      <c r="F256" s="275">
        <v>883.22504000000004</v>
      </c>
      <c r="G256" s="51" t="s">
        <v>1502</v>
      </c>
    </row>
    <row r="257" spans="1:7" s="1" customFormat="1" ht="31.5">
      <c r="A257" s="51" t="s">
        <v>1501</v>
      </c>
      <c r="B257" s="51" t="s">
        <v>1500</v>
      </c>
      <c r="C257" s="51" t="s">
        <v>1476</v>
      </c>
      <c r="D257" s="275">
        <v>1780.6831500000001</v>
      </c>
      <c r="E257" s="275">
        <v>72.683149999999998</v>
      </c>
      <c r="F257" s="275">
        <v>72.083789999999993</v>
      </c>
      <c r="G257" s="51" t="s">
        <v>1479</v>
      </c>
    </row>
    <row r="258" spans="1:7" s="1" customFormat="1" ht="31.5">
      <c r="A258" s="51" t="s">
        <v>1499</v>
      </c>
      <c r="B258" s="51" t="s">
        <v>1498</v>
      </c>
      <c r="C258" s="51" t="s">
        <v>1476</v>
      </c>
      <c r="D258" s="275">
        <v>2007.36725</v>
      </c>
      <c r="E258" s="275">
        <v>2007.36725</v>
      </c>
      <c r="F258" s="275">
        <v>2007.36725</v>
      </c>
      <c r="G258" s="51" t="s">
        <v>1497</v>
      </c>
    </row>
    <row r="259" spans="1:7" s="1" customFormat="1" ht="31.5">
      <c r="A259" s="51" t="s">
        <v>1496</v>
      </c>
      <c r="B259" s="51" t="s">
        <v>1495</v>
      </c>
      <c r="C259" s="51" t="s">
        <v>1476</v>
      </c>
      <c r="D259" s="275">
        <v>1840.0575200000001</v>
      </c>
      <c r="E259" s="275">
        <v>1840.0575200000001</v>
      </c>
      <c r="F259" s="275">
        <v>1840.0575200000001</v>
      </c>
      <c r="G259" s="51" t="s">
        <v>1475</v>
      </c>
    </row>
    <row r="260" spans="1:7" s="1" customFormat="1" ht="31.5">
      <c r="A260" s="51" t="s">
        <v>1494</v>
      </c>
      <c r="B260" s="51" t="s">
        <v>1493</v>
      </c>
      <c r="C260" s="51" t="s">
        <v>1476</v>
      </c>
      <c r="D260" s="275">
        <v>1329.14939</v>
      </c>
      <c r="E260" s="275">
        <v>1329.14939</v>
      </c>
      <c r="F260" s="275">
        <v>1329.14939</v>
      </c>
      <c r="G260" s="51" t="s">
        <v>1492</v>
      </c>
    </row>
    <row r="261" spans="1:7" s="1" customFormat="1" ht="31.5">
      <c r="A261" s="51" t="s">
        <v>1491</v>
      </c>
      <c r="B261" s="51" t="s">
        <v>1490</v>
      </c>
      <c r="C261" s="51" t="s">
        <v>1476</v>
      </c>
      <c r="D261" s="275">
        <v>2179.2732000000001</v>
      </c>
      <c r="E261" s="275">
        <v>2179.2732000000001</v>
      </c>
      <c r="F261" s="275">
        <v>2179.2732000000001</v>
      </c>
      <c r="G261" s="51" t="s">
        <v>1489</v>
      </c>
    </row>
    <row r="262" spans="1:7" s="1" customFormat="1" ht="47.25">
      <c r="A262" s="51" t="s">
        <v>1488</v>
      </c>
      <c r="B262" s="51" t="s">
        <v>1487</v>
      </c>
      <c r="C262" s="51" t="s">
        <v>1476</v>
      </c>
      <c r="D262" s="275">
        <v>1644.5949599999999</v>
      </c>
      <c r="E262" s="275">
        <v>1644.5949599999999</v>
      </c>
      <c r="F262" s="275">
        <v>1644.5949599999999</v>
      </c>
      <c r="G262" s="51" t="s">
        <v>1486</v>
      </c>
    </row>
    <row r="263" spans="1:7" s="1" customFormat="1" ht="47.25">
      <c r="A263" s="51" t="s">
        <v>1485</v>
      </c>
      <c r="B263" s="51" t="s">
        <v>1484</v>
      </c>
      <c r="C263" s="51" t="s">
        <v>1476</v>
      </c>
      <c r="D263" s="275">
        <v>1495.1623400000001</v>
      </c>
      <c r="E263" s="275">
        <v>1495.1623400000001</v>
      </c>
      <c r="F263" s="275">
        <v>1495.1623400000001</v>
      </c>
      <c r="G263" s="51" t="s">
        <v>1483</v>
      </c>
    </row>
    <row r="264" spans="1:7" s="1" customFormat="1" ht="63">
      <c r="A264" s="51" t="s">
        <v>1482</v>
      </c>
      <c r="B264" s="51" t="s">
        <v>1481</v>
      </c>
      <c r="C264" s="51" t="s">
        <v>1476</v>
      </c>
      <c r="D264" s="275">
        <v>60.929679999999998</v>
      </c>
      <c r="E264" s="275">
        <v>60.929679999999998</v>
      </c>
      <c r="F264" s="275">
        <v>60.929679999999998</v>
      </c>
      <c r="G264" s="51" t="s">
        <v>1479</v>
      </c>
    </row>
    <row r="265" spans="1:7" s="1" customFormat="1" ht="63">
      <c r="A265" s="51"/>
      <c r="B265" s="51" t="s">
        <v>1480</v>
      </c>
      <c r="C265" s="51" t="s">
        <v>1476</v>
      </c>
      <c r="D265" s="275">
        <v>49.001260000000002</v>
      </c>
      <c r="E265" s="275">
        <v>49.001260000000002</v>
      </c>
      <c r="F265" s="275">
        <v>49.001260000000002</v>
      </c>
      <c r="G265" s="51" t="s">
        <v>1479</v>
      </c>
    </row>
    <row r="266" spans="1:7" s="1" customFormat="1" ht="78.75">
      <c r="A266" s="51" t="s">
        <v>1478</v>
      </c>
      <c r="B266" s="51" t="s">
        <v>1477</v>
      </c>
      <c r="C266" s="51" t="s">
        <v>1476</v>
      </c>
      <c r="D266" s="275">
        <v>60.28125</v>
      </c>
      <c r="E266" s="275">
        <v>60.28125</v>
      </c>
      <c r="F266" s="275">
        <v>60.28125</v>
      </c>
      <c r="G266" s="51" t="s">
        <v>1475</v>
      </c>
    </row>
    <row r="267" spans="1:7" s="1" customFormat="1">
      <c r="A267" s="163"/>
      <c r="B267" s="163" t="s">
        <v>1</v>
      </c>
      <c r="C267" s="162" t="s">
        <v>0</v>
      </c>
      <c r="D267" s="149">
        <f>SUM(D238:D266)</f>
        <v>34789</v>
      </c>
      <c r="E267" s="149">
        <f>SUM(E238:E266)</f>
        <v>27165.199999999997</v>
      </c>
      <c r="F267" s="149">
        <f>SUM(F238:F266)</f>
        <v>21966.37946</v>
      </c>
      <c r="G267" s="162" t="s">
        <v>0</v>
      </c>
    </row>
    <row r="268" spans="1:7" s="1" customFormat="1">
      <c r="A268" s="274" t="s">
        <v>1474</v>
      </c>
      <c r="B268" s="274"/>
      <c r="C268" s="274"/>
      <c r="D268" s="274"/>
      <c r="E268" s="274"/>
      <c r="F268" s="274"/>
      <c r="G268" s="274"/>
    </row>
    <row r="269" spans="1:7" s="1" customFormat="1">
      <c r="A269" s="273" t="s">
        <v>1473</v>
      </c>
      <c r="B269" s="272"/>
      <c r="C269" s="271"/>
      <c r="D269" s="270"/>
      <c r="E269" s="270"/>
      <c r="F269" s="269"/>
      <c r="G269" s="268"/>
    </row>
    <row r="270" spans="1:7" s="1" customFormat="1">
      <c r="A270" s="214" t="s">
        <v>1472</v>
      </c>
      <c r="B270" s="214" t="s">
        <v>1472</v>
      </c>
      <c r="C270" s="15" t="s">
        <v>1404</v>
      </c>
      <c r="D270" s="252">
        <f>E270</f>
        <v>1267.35517</v>
      </c>
      <c r="E270" s="252">
        <f>F272+F273+F274</f>
        <v>1267.35517</v>
      </c>
      <c r="F270" s="191"/>
      <c r="G270" s="207"/>
    </row>
    <row r="271" spans="1:7" s="1" customFormat="1">
      <c r="A271" s="213"/>
      <c r="B271" s="213"/>
      <c r="C271" s="14" t="s">
        <v>1471</v>
      </c>
      <c r="D271" s="251"/>
      <c r="E271" s="251"/>
      <c r="F271" s="191"/>
      <c r="G271" s="205"/>
    </row>
    <row r="272" spans="1:7" s="1" customFormat="1">
      <c r="A272" s="213"/>
      <c r="B272" s="213"/>
      <c r="C272" s="15" t="s">
        <v>1403</v>
      </c>
      <c r="D272" s="251"/>
      <c r="E272" s="251"/>
      <c r="F272" s="216">
        <v>8.4378899999999994</v>
      </c>
      <c r="G272" s="197" t="s">
        <v>1414</v>
      </c>
    </row>
    <row r="273" spans="1:7" s="1" customFormat="1">
      <c r="A273" s="213"/>
      <c r="B273" s="213"/>
      <c r="C273" s="15" t="s">
        <v>1402</v>
      </c>
      <c r="D273" s="251"/>
      <c r="E273" s="251"/>
      <c r="F273" s="216">
        <v>18.38542</v>
      </c>
      <c r="G273" s="15" t="s">
        <v>1413</v>
      </c>
    </row>
    <row r="274" spans="1:7" s="1" customFormat="1">
      <c r="A274" s="212"/>
      <c r="B274" s="212"/>
      <c r="C274" s="15" t="s">
        <v>1401</v>
      </c>
      <c r="D274" s="250"/>
      <c r="E274" s="250"/>
      <c r="F274" s="216">
        <v>1240.5318600000001</v>
      </c>
      <c r="G274" s="263" t="s">
        <v>1416</v>
      </c>
    </row>
    <row r="275" spans="1:7" s="1" customFormat="1">
      <c r="A275" s="214" t="s">
        <v>1470</v>
      </c>
      <c r="B275" s="214" t="s">
        <v>1470</v>
      </c>
      <c r="C275" s="15" t="s">
        <v>1404</v>
      </c>
      <c r="D275" s="267">
        <f>E275</f>
        <v>746.82898</v>
      </c>
      <c r="E275" s="267">
        <f>F277+F278+F279</f>
        <v>746.82898</v>
      </c>
      <c r="F275" s="209"/>
      <c r="G275" s="201"/>
    </row>
    <row r="276" spans="1:7" s="1" customFormat="1">
      <c r="A276" s="213"/>
      <c r="B276" s="213"/>
      <c r="C276" s="15" t="s">
        <v>1398</v>
      </c>
      <c r="D276" s="266"/>
      <c r="E276" s="266"/>
      <c r="F276" s="209"/>
      <c r="G276" s="199"/>
    </row>
    <row r="277" spans="1:7" s="1" customFormat="1">
      <c r="A277" s="213"/>
      <c r="B277" s="213"/>
      <c r="C277" s="15" t="s">
        <v>1403</v>
      </c>
      <c r="D277" s="266"/>
      <c r="E277" s="266"/>
      <c r="F277" s="200">
        <v>5.6842100000000002</v>
      </c>
      <c r="G277" s="15" t="s">
        <v>1449</v>
      </c>
    </row>
    <row r="278" spans="1:7" s="1" customFormat="1">
      <c r="A278" s="213"/>
      <c r="B278" s="213"/>
      <c r="C278" s="15" t="s">
        <v>1402</v>
      </c>
      <c r="D278" s="266"/>
      <c r="E278" s="266"/>
      <c r="F278" s="200">
        <v>10.77314</v>
      </c>
      <c r="G278" s="197" t="s">
        <v>1413</v>
      </c>
    </row>
    <row r="279" spans="1:7" s="1" customFormat="1">
      <c r="A279" s="212"/>
      <c r="B279" s="212"/>
      <c r="C279" s="14" t="s">
        <v>1401</v>
      </c>
      <c r="D279" s="265"/>
      <c r="E279" s="265"/>
      <c r="F279" s="200">
        <v>730.37162999999998</v>
      </c>
      <c r="G279" s="15" t="s">
        <v>1416</v>
      </c>
    </row>
    <row r="280" spans="1:7" s="1" customFormat="1">
      <c r="A280" s="214" t="s">
        <v>1469</v>
      </c>
      <c r="B280" s="214" t="s">
        <v>1469</v>
      </c>
      <c r="C280" s="15" t="s">
        <v>1404</v>
      </c>
      <c r="D280" s="252">
        <f>E280</f>
        <v>1173.69894</v>
      </c>
      <c r="E280" s="252">
        <f>F280+F282+F283+F284</f>
        <v>1173.69894</v>
      </c>
      <c r="F280" s="191">
        <v>62.215000000000003</v>
      </c>
      <c r="G280" s="201" t="s">
        <v>1468</v>
      </c>
    </row>
    <row r="281" spans="1:7" s="1" customFormat="1">
      <c r="A281" s="213"/>
      <c r="B281" s="213"/>
      <c r="C281" s="14" t="s">
        <v>1398</v>
      </c>
      <c r="D281" s="251"/>
      <c r="E281" s="251"/>
      <c r="F281" s="191"/>
      <c r="G281" s="228"/>
    </row>
    <row r="282" spans="1:7" s="1" customFormat="1">
      <c r="A282" s="213"/>
      <c r="B282" s="213"/>
      <c r="C282" s="14" t="s">
        <v>1403</v>
      </c>
      <c r="D282" s="251"/>
      <c r="E282" s="251"/>
      <c r="F282" s="194">
        <v>8.5263200000000001</v>
      </c>
      <c r="G282" s="199"/>
    </row>
    <row r="283" spans="1:7" s="1" customFormat="1">
      <c r="A283" s="213"/>
      <c r="B283" s="213"/>
      <c r="C283" s="14" t="s">
        <v>1402</v>
      </c>
      <c r="D283" s="251"/>
      <c r="E283" s="251"/>
      <c r="F283" s="194">
        <v>16.121510000000001</v>
      </c>
      <c r="G283" s="15" t="s">
        <v>1411</v>
      </c>
    </row>
    <row r="284" spans="1:7" s="1" customFormat="1">
      <c r="A284" s="212"/>
      <c r="B284" s="212"/>
      <c r="C284" s="14" t="s">
        <v>1401</v>
      </c>
      <c r="D284" s="250"/>
      <c r="E284" s="250"/>
      <c r="F284" s="194">
        <v>1086.83611</v>
      </c>
      <c r="G284" s="15" t="s">
        <v>1416</v>
      </c>
    </row>
    <row r="285" spans="1:7" s="1" customFormat="1">
      <c r="A285" s="214" t="s">
        <v>1467</v>
      </c>
      <c r="B285" s="214" t="s">
        <v>1467</v>
      </c>
      <c r="C285" s="15" t="s">
        <v>1404</v>
      </c>
      <c r="D285" s="252">
        <f>E285</f>
        <v>62.531999999999996</v>
      </c>
      <c r="E285" s="252">
        <f>F285</f>
        <v>62.531999999999996</v>
      </c>
      <c r="F285" s="191">
        <v>62.531999999999996</v>
      </c>
      <c r="G285" s="197" t="s">
        <v>1466</v>
      </c>
    </row>
    <row r="286" spans="1:7" s="1" customFormat="1">
      <c r="A286" s="213"/>
      <c r="B286" s="213"/>
      <c r="C286" s="14" t="s">
        <v>1398</v>
      </c>
      <c r="D286" s="251"/>
      <c r="E286" s="251"/>
      <c r="F286" s="191"/>
      <c r="G286" s="197"/>
    </row>
    <row r="287" spans="1:7" s="1" customFormat="1">
      <c r="A287" s="213"/>
      <c r="B287" s="213"/>
      <c r="C287" s="14" t="s">
        <v>1403</v>
      </c>
      <c r="D287" s="251"/>
      <c r="E287" s="251"/>
      <c r="F287" s="191"/>
      <c r="G287" s="197"/>
    </row>
    <row r="288" spans="1:7" s="1" customFormat="1">
      <c r="A288" s="213"/>
      <c r="B288" s="213"/>
      <c r="C288" s="14" t="s">
        <v>1402</v>
      </c>
      <c r="D288" s="251"/>
      <c r="E288" s="251"/>
      <c r="F288" s="191"/>
      <c r="G288" s="197"/>
    </row>
    <row r="289" spans="1:7" s="1" customFormat="1">
      <c r="A289" s="212"/>
      <c r="B289" s="212"/>
      <c r="C289" s="14" t="s">
        <v>1401</v>
      </c>
      <c r="D289" s="250"/>
      <c r="E289" s="250"/>
      <c r="F289" s="191"/>
      <c r="G289" s="197"/>
    </row>
    <row r="290" spans="1:7" s="1" customFormat="1">
      <c r="A290" s="214" t="s">
        <v>1465</v>
      </c>
      <c r="B290" s="214" t="s">
        <v>1465</v>
      </c>
      <c r="C290" s="15" t="s">
        <v>1404</v>
      </c>
      <c r="D290" s="252">
        <v>855.875</v>
      </c>
      <c r="E290" s="252">
        <f>F292+F293+F294</f>
        <v>855.87491999999997</v>
      </c>
      <c r="F290" s="191"/>
      <c r="G290" s="241"/>
    </row>
    <row r="291" spans="1:7" s="1" customFormat="1">
      <c r="A291" s="213"/>
      <c r="B291" s="213"/>
      <c r="C291" s="14" t="s">
        <v>1398</v>
      </c>
      <c r="D291" s="251"/>
      <c r="E291" s="251"/>
      <c r="F291" s="191"/>
      <c r="G291" s="264"/>
    </row>
    <row r="292" spans="1:7" s="1" customFormat="1">
      <c r="A292" s="213"/>
      <c r="B292" s="213"/>
      <c r="C292" s="14" t="s">
        <v>1403</v>
      </c>
      <c r="D292" s="251"/>
      <c r="E292" s="251"/>
      <c r="F292" s="194">
        <v>8.5263200000000001</v>
      </c>
      <c r="G292" s="263" t="s">
        <v>235</v>
      </c>
    </row>
    <row r="293" spans="1:7" s="1" customFormat="1">
      <c r="A293" s="213"/>
      <c r="B293" s="213"/>
      <c r="C293" s="14" t="s">
        <v>1402</v>
      </c>
      <c r="D293" s="251"/>
      <c r="E293" s="251"/>
      <c r="F293" s="194">
        <v>11.76211</v>
      </c>
      <c r="G293" s="15" t="s">
        <v>1411</v>
      </c>
    </row>
    <row r="294" spans="1:7" s="1" customFormat="1">
      <c r="A294" s="212"/>
      <c r="B294" s="212"/>
      <c r="C294" s="14" t="s">
        <v>1401</v>
      </c>
      <c r="D294" s="250"/>
      <c r="E294" s="250"/>
      <c r="F294" s="194">
        <v>835.58649000000003</v>
      </c>
      <c r="G294" s="15" t="s">
        <v>1407</v>
      </c>
    </row>
    <row r="295" spans="1:7" s="1" customFormat="1">
      <c r="A295" s="214" t="s">
        <v>1464</v>
      </c>
      <c r="B295" s="214" t="str">
        <f>A295</f>
        <v xml:space="preserve"> «Капітальний ремонт дорожнього покриття прибудинкової території та внутрішньоквартального проїзду біля будинку №47 по вул. Севастопольська у Центральному районі м. Миколаєва» </v>
      </c>
      <c r="C295" s="15" t="s">
        <v>1404</v>
      </c>
      <c r="D295" s="252">
        <v>1088.8720000000001</v>
      </c>
      <c r="E295" s="252">
        <f>F295+F296</f>
        <v>124.23599</v>
      </c>
      <c r="F295" s="216">
        <v>107.89578</v>
      </c>
      <c r="G295" s="207" t="s">
        <v>235</v>
      </c>
    </row>
    <row r="296" spans="1:7" s="1" customFormat="1">
      <c r="A296" s="213"/>
      <c r="B296" s="213"/>
      <c r="C296" s="14" t="s">
        <v>1398</v>
      </c>
      <c r="D296" s="251"/>
      <c r="E296" s="251"/>
      <c r="F296" s="216">
        <v>16.340209999999999</v>
      </c>
      <c r="G296" s="205"/>
    </row>
    <row r="297" spans="1:7" s="1" customFormat="1">
      <c r="A297" s="213"/>
      <c r="B297" s="213"/>
      <c r="C297" s="14" t="s">
        <v>1403</v>
      </c>
      <c r="D297" s="251"/>
      <c r="E297" s="251"/>
      <c r="F297" s="191"/>
      <c r="G297" s="204"/>
    </row>
    <row r="298" spans="1:7" s="1" customFormat="1">
      <c r="A298" s="213"/>
      <c r="B298" s="213"/>
      <c r="C298" s="14" t="s">
        <v>1402</v>
      </c>
      <c r="D298" s="251"/>
      <c r="E298" s="251"/>
      <c r="F298" s="191"/>
      <c r="G298" s="15" t="s">
        <v>1411</v>
      </c>
    </row>
    <row r="299" spans="1:7" s="1" customFormat="1">
      <c r="A299" s="212"/>
      <c r="B299" s="212"/>
      <c r="C299" s="15" t="s">
        <v>1401</v>
      </c>
      <c r="D299" s="250"/>
      <c r="E299" s="250"/>
      <c r="F299" s="191"/>
      <c r="G299" s="15" t="s">
        <v>1422</v>
      </c>
    </row>
    <row r="300" spans="1:7" s="1" customFormat="1">
      <c r="A300" s="101" t="s">
        <v>1463</v>
      </c>
      <c r="B300" s="101" t="s">
        <v>1463</v>
      </c>
      <c r="C300" s="15" t="s">
        <v>1404</v>
      </c>
      <c r="D300" s="252">
        <v>339.03399999999999</v>
      </c>
      <c r="E300" s="252">
        <v>31.18526</v>
      </c>
      <c r="F300" s="200">
        <v>26.96631</v>
      </c>
      <c r="G300" s="207" t="s">
        <v>235</v>
      </c>
    </row>
    <row r="301" spans="1:7" s="1" customFormat="1">
      <c r="A301" s="103"/>
      <c r="B301" s="103"/>
      <c r="C301" s="14" t="s">
        <v>1398</v>
      </c>
      <c r="D301" s="251"/>
      <c r="E301" s="251"/>
      <c r="F301" s="200">
        <v>4.2189500000000004</v>
      </c>
      <c r="G301" s="204"/>
    </row>
    <row r="302" spans="1:7" s="1" customFormat="1">
      <c r="A302" s="103"/>
      <c r="B302" s="103"/>
      <c r="C302" s="14" t="s">
        <v>1403</v>
      </c>
      <c r="D302" s="251"/>
      <c r="E302" s="251"/>
      <c r="F302" s="191"/>
      <c r="G302" s="263"/>
    </row>
    <row r="303" spans="1:7" s="1" customFormat="1">
      <c r="A303" s="103"/>
      <c r="B303" s="103"/>
      <c r="C303" s="14" t="s">
        <v>1402</v>
      </c>
      <c r="D303" s="251"/>
      <c r="E303" s="251"/>
      <c r="F303" s="191"/>
      <c r="G303" s="197"/>
    </row>
    <row r="304" spans="1:7" s="1" customFormat="1">
      <c r="A304" s="100"/>
      <c r="B304" s="100"/>
      <c r="C304" s="197" t="s">
        <v>1401</v>
      </c>
      <c r="D304" s="250"/>
      <c r="E304" s="250"/>
      <c r="F304" s="191"/>
      <c r="G304" s="197"/>
    </row>
    <row r="305" spans="1:7" s="1" customFormat="1">
      <c r="A305" s="101" t="s">
        <v>1462</v>
      </c>
      <c r="B305" s="101" t="s">
        <v>1462</v>
      </c>
      <c r="C305" s="15" t="s">
        <v>1404</v>
      </c>
      <c r="D305" s="252">
        <f>E305</f>
        <v>1440.4965999999999</v>
      </c>
      <c r="E305" s="252">
        <f>F305+F306+F307+F308+F309</f>
        <v>1440.4965999999999</v>
      </c>
      <c r="F305" s="194">
        <v>65.40316</v>
      </c>
      <c r="G305" s="201" t="s">
        <v>1449</v>
      </c>
    </row>
    <row r="306" spans="1:7" s="1" customFormat="1">
      <c r="A306" s="103"/>
      <c r="B306" s="103"/>
      <c r="C306" s="14" t="s">
        <v>1398</v>
      </c>
      <c r="D306" s="251"/>
      <c r="E306" s="251"/>
      <c r="F306" s="194">
        <v>8.5313700000000008</v>
      </c>
      <c r="G306" s="228"/>
    </row>
    <row r="307" spans="1:7" s="1" customFormat="1">
      <c r="A307" s="103"/>
      <c r="B307" s="103"/>
      <c r="C307" s="14" t="s">
        <v>1403</v>
      </c>
      <c r="D307" s="251"/>
      <c r="E307" s="251"/>
      <c r="F307" s="194">
        <v>5.6842100000000002</v>
      </c>
      <c r="G307" s="199"/>
    </row>
    <row r="308" spans="1:7" s="1" customFormat="1">
      <c r="A308" s="103"/>
      <c r="B308" s="103"/>
      <c r="C308" s="14" t="s">
        <v>1402</v>
      </c>
      <c r="D308" s="251"/>
      <c r="E308" s="251"/>
      <c r="F308" s="194">
        <v>17.808420000000002</v>
      </c>
      <c r="G308" s="15" t="s">
        <v>1461</v>
      </c>
    </row>
    <row r="309" spans="1:7" s="1" customFormat="1" ht="31.5">
      <c r="A309" s="100"/>
      <c r="B309" s="100"/>
      <c r="C309" s="197" t="s">
        <v>1401</v>
      </c>
      <c r="D309" s="251"/>
      <c r="E309" s="251"/>
      <c r="F309" s="194">
        <v>1343.06944</v>
      </c>
      <c r="G309" s="15" t="s">
        <v>1460</v>
      </c>
    </row>
    <row r="310" spans="1:7" s="1" customFormat="1">
      <c r="A310" s="101" t="s">
        <v>1459</v>
      </c>
      <c r="B310" s="101" t="s">
        <v>1459</v>
      </c>
      <c r="C310" s="15" t="s">
        <v>1404</v>
      </c>
      <c r="D310" s="252">
        <v>342.00700000000001</v>
      </c>
      <c r="E310" s="252">
        <v>342.00700000000001</v>
      </c>
      <c r="F310" s="194">
        <v>25.031580000000002</v>
      </c>
      <c r="G310" s="207" t="s">
        <v>235</v>
      </c>
    </row>
    <row r="311" spans="1:7" s="1" customFormat="1">
      <c r="A311" s="103"/>
      <c r="B311" s="103"/>
      <c r="C311" s="14" t="s">
        <v>1398</v>
      </c>
      <c r="D311" s="251"/>
      <c r="E311" s="251"/>
      <c r="F311" s="194">
        <v>4.2189500000000004</v>
      </c>
      <c r="G311" s="205"/>
    </row>
    <row r="312" spans="1:7" s="1" customFormat="1">
      <c r="A312" s="103"/>
      <c r="B312" s="103"/>
      <c r="C312" s="14" t="s">
        <v>1403</v>
      </c>
      <c r="D312" s="251"/>
      <c r="E312" s="251"/>
      <c r="F312" s="194"/>
      <c r="G312" s="204"/>
    </row>
    <row r="313" spans="1:7" s="1" customFormat="1">
      <c r="A313" s="103"/>
      <c r="B313" s="103"/>
      <c r="C313" s="14" t="s">
        <v>1402</v>
      </c>
      <c r="D313" s="251"/>
      <c r="E313" s="251"/>
      <c r="F313" s="194"/>
      <c r="G313" s="15" t="s">
        <v>1411</v>
      </c>
    </row>
    <row r="314" spans="1:7" s="1" customFormat="1">
      <c r="A314" s="100"/>
      <c r="B314" s="100"/>
      <c r="C314" s="15" t="s">
        <v>1401</v>
      </c>
      <c r="D314" s="250"/>
      <c r="E314" s="250"/>
      <c r="F314" s="194"/>
      <c r="G314" s="15" t="s">
        <v>1416</v>
      </c>
    </row>
    <row r="315" spans="1:7" s="1" customFormat="1">
      <c r="A315" s="101" t="s">
        <v>1458</v>
      </c>
      <c r="B315" s="101" t="s">
        <v>1458</v>
      </c>
      <c r="C315" s="15" t="s">
        <v>1404</v>
      </c>
      <c r="D315" s="252">
        <v>1733.3</v>
      </c>
      <c r="E315" s="252">
        <v>85.570999999999998</v>
      </c>
      <c r="F315" s="69">
        <v>40.5</v>
      </c>
      <c r="G315" s="207" t="s">
        <v>235</v>
      </c>
    </row>
    <row r="316" spans="1:7" s="1" customFormat="1">
      <c r="A316" s="103"/>
      <c r="B316" s="103"/>
      <c r="C316" s="14" t="s">
        <v>1398</v>
      </c>
      <c r="D316" s="251"/>
      <c r="E316" s="251"/>
      <c r="F316" s="69">
        <v>8.9526299999999992</v>
      </c>
      <c r="G316" s="204"/>
    </row>
    <row r="317" spans="1:7" s="1" customFormat="1">
      <c r="A317" s="103"/>
      <c r="B317" s="103"/>
      <c r="C317" s="14" t="s">
        <v>1403</v>
      </c>
      <c r="D317" s="251"/>
      <c r="E317" s="251"/>
      <c r="F317" s="243"/>
      <c r="G317" s="193"/>
    </row>
    <row r="318" spans="1:7" s="1" customFormat="1">
      <c r="A318" s="103"/>
      <c r="B318" s="103"/>
      <c r="C318" s="14" t="s">
        <v>1402</v>
      </c>
      <c r="D318" s="251"/>
      <c r="E318" s="251"/>
      <c r="F318" s="243"/>
      <c r="G318" s="193"/>
    </row>
    <row r="319" spans="1:7" s="1" customFormat="1">
      <c r="A319" s="100"/>
      <c r="B319" s="100"/>
      <c r="C319" s="15" t="s">
        <v>1401</v>
      </c>
      <c r="D319" s="250"/>
      <c r="E319" s="250"/>
      <c r="F319" s="243"/>
      <c r="G319" s="193"/>
    </row>
    <row r="320" spans="1:7" s="1" customFormat="1" ht="47.25">
      <c r="A320" s="61" t="s">
        <v>1396</v>
      </c>
      <c r="B320" s="61" t="s">
        <v>1396</v>
      </c>
      <c r="C320" s="15"/>
      <c r="D320" s="247">
        <v>100</v>
      </c>
      <c r="E320" s="247">
        <v>20.213999999999999</v>
      </c>
      <c r="F320" s="191">
        <f>10.1062*2</f>
        <v>20.212399999999999</v>
      </c>
      <c r="G320" s="15"/>
    </row>
    <row r="321" spans="1:7" s="1" customFormat="1">
      <c r="A321" s="262" t="s">
        <v>1395</v>
      </c>
      <c r="B321" s="240"/>
      <c r="C321" s="261"/>
      <c r="D321" s="260">
        <f>SUM(D270:D320)</f>
        <v>9149.9996899999987</v>
      </c>
      <c r="E321" s="260">
        <f>SUM(E270:E320)</f>
        <v>6149.9998599999999</v>
      </c>
      <c r="F321" s="259">
        <f>SUM(F270:F320)</f>
        <v>5801.1234200000017</v>
      </c>
      <c r="G321" s="258"/>
    </row>
    <row r="322" spans="1:7" s="1" customFormat="1">
      <c r="A322" s="257" t="s">
        <v>1457</v>
      </c>
      <c r="B322" s="256"/>
      <c r="C322" s="255"/>
      <c r="D322" s="254"/>
      <c r="E322" s="254"/>
      <c r="F322" s="243"/>
      <c r="G322" s="193"/>
    </row>
    <row r="323" spans="1:7" s="1" customFormat="1">
      <c r="A323" s="101" t="s">
        <v>1456</v>
      </c>
      <c r="B323" s="101" t="s">
        <v>1456</v>
      </c>
      <c r="C323" s="15" t="s">
        <v>1404</v>
      </c>
      <c r="D323" s="252">
        <v>500</v>
      </c>
      <c r="E323" s="253">
        <v>111.806</v>
      </c>
      <c r="F323" s="243"/>
      <c r="G323" s="193"/>
    </row>
    <row r="324" spans="1:7" s="1" customFormat="1">
      <c r="A324" s="103"/>
      <c r="B324" s="103"/>
      <c r="C324" s="14" t="s">
        <v>1398</v>
      </c>
      <c r="D324" s="251"/>
      <c r="E324" s="253"/>
      <c r="F324" s="243"/>
      <c r="G324" s="193"/>
    </row>
    <row r="325" spans="1:7" s="1" customFormat="1">
      <c r="A325" s="103"/>
      <c r="B325" s="103"/>
      <c r="C325" s="14" t="s">
        <v>1403</v>
      </c>
      <c r="D325" s="251"/>
      <c r="E325" s="253"/>
      <c r="F325" s="243"/>
      <c r="G325" s="193" t="s">
        <v>173</v>
      </c>
    </row>
    <row r="326" spans="1:7" s="1" customFormat="1">
      <c r="A326" s="103"/>
      <c r="B326" s="103"/>
      <c r="C326" s="14" t="s">
        <v>1402</v>
      </c>
      <c r="D326" s="251"/>
      <c r="E326" s="253"/>
      <c r="F326" s="243"/>
      <c r="G326" s="193" t="s">
        <v>1413</v>
      </c>
    </row>
    <row r="327" spans="1:7" s="1" customFormat="1">
      <c r="A327" s="100"/>
      <c r="B327" s="100"/>
      <c r="C327" s="15" t="s">
        <v>1401</v>
      </c>
      <c r="D327" s="250"/>
      <c r="E327" s="253"/>
      <c r="F327" s="243"/>
      <c r="G327" s="193" t="s">
        <v>1455</v>
      </c>
    </row>
    <row r="328" spans="1:7" s="1" customFormat="1">
      <c r="A328" s="101" t="s">
        <v>1454</v>
      </c>
      <c r="B328" s="101" t="str">
        <f>A328</f>
        <v xml:space="preserve">«Капітальний ремонт дитячого майданчика по вул. Колодязна поблизу буд. №35А у Центральному районі м. Миколаєва» </v>
      </c>
      <c r="C328" s="15" t="s">
        <v>1404</v>
      </c>
      <c r="D328" s="252">
        <f>E328</f>
        <v>14.21053</v>
      </c>
      <c r="E328" s="252">
        <f>F328</f>
        <v>14.21053</v>
      </c>
      <c r="F328" s="243">
        <v>14.21053</v>
      </c>
      <c r="G328" s="193" t="s">
        <v>1449</v>
      </c>
    </row>
    <row r="329" spans="1:7" s="1" customFormat="1">
      <c r="A329" s="103"/>
      <c r="B329" s="103"/>
      <c r="C329" s="14" t="s">
        <v>1398</v>
      </c>
      <c r="D329" s="251"/>
      <c r="E329" s="251"/>
      <c r="F329" s="243"/>
      <c r="G329" s="193"/>
    </row>
    <row r="330" spans="1:7" s="1" customFormat="1">
      <c r="A330" s="103"/>
      <c r="B330" s="103"/>
      <c r="C330" s="14" t="s">
        <v>1403</v>
      </c>
      <c r="D330" s="251"/>
      <c r="E330" s="251"/>
      <c r="F330" s="243"/>
      <c r="G330" s="193"/>
    </row>
    <row r="331" spans="1:7" s="1" customFormat="1">
      <c r="A331" s="103"/>
      <c r="B331" s="103"/>
      <c r="C331" s="14" t="s">
        <v>1402</v>
      </c>
      <c r="D331" s="251"/>
      <c r="E331" s="251"/>
      <c r="F331" s="243"/>
      <c r="G331" s="193"/>
    </row>
    <row r="332" spans="1:7" s="1" customFormat="1">
      <c r="A332" s="100"/>
      <c r="B332" s="100"/>
      <c r="C332" s="15" t="s">
        <v>1401</v>
      </c>
      <c r="D332" s="250"/>
      <c r="E332" s="250"/>
      <c r="F332" s="243"/>
      <c r="G332" s="193"/>
    </row>
    <row r="333" spans="1:7" s="1" customFormat="1">
      <c r="A333" s="101" t="s">
        <v>1453</v>
      </c>
      <c r="B333" s="101" t="str">
        <f>A333</f>
        <v xml:space="preserve">«Капітальний ремонт спортивного майданчика по вул. Колодязна поблизу буд. №3 у Центральному районі м. Миколаєва» </v>
      </c>
      <c r="C333" s="15" t="s">
        <v>1404</v>
      </c>
      <c r="D333" s="252">
        <f>E333</f>
        <v>65.675790000000006</v>
      </c>
      <c r="E333" s="252">
        <f>F333+F334</f>
        <v>65.675790000000006</v>
      </c>
      <c r="F333" s="194">
        <v>60.04842</v>
      </c>
      <c r="G333" s="201" t="s">
        <v>1449</v>
      </c>
    </row>
    <row r="334" spans="1:7" s="1" customFormat="1">
      <c r="A334" s="103"/>
      <c r="B334" s="103"/>
      <c r="C334" s="14" t="s">
        <v>1398</v>
      </c>
      <c r="D334" s="251"/>
      <c r="E334" s="251"/>
      <c r="F334" s="194">
        <v>5.62737</v>
      </c>
      <c r="G334" s="199"/>
    </row>
    <row r="335" spans="1:7" s="1" customFormat="1">
      <c r="A335" s="103"/>
      <c r="B335" s="103"/>
      <c r="C335" s="14" t="s">
        <v>1403</v>
      </c>
      <c r="D335" s="251"/>
      <c r="E335" s="251"/>
      <c r="F335" s="243"/>
      <c r="G335" s="193"/>
    </row>
    <row r="336" spans="1:7" s="1" customFormat="1">
      <c r="A336" s="103"/>
      <c r="B336" s="103"/>
      <c r="C336" s="14" t="s">
        <v>1402</v>
      </c>
      <c r="D336" s="251"/>
      <c r="E336" s="251"/>
      <c r="F336" s="243"/>
      <c r="G336" s="193"/>
    </row>
    <row r="337" spans="1:7" s="1" customFormat="1">
      <c r="A337" s="100"/>
      <c r="B337" s="100"/>
      <c r="C337" s="15" t="s">
        <v>1401</v>
      </c>
      <c r="D337" s="250"/>
      <c r="E337" s="250"/>
      <c r="F337" s="243"/>
      <c r="G337" s="193"/>
    </row>
    <row r="338" spans="1:7" s="1" customFormat="1">
      <c r="A338" s="101" t="s">
        <v>1452</v>
      </c>
      <c r="B338" s="101" t="str">
        <f>A338</f>
        <v xml:space="preserve"> «Капітальний ремонт спортивного майданчика по вул. Колодязна поблизу буд. №37 у Центральному районі м. Миколаєва» </v>
      </c>
      <c r="C338" s="15" t="s">
        <v>1404</v>
      </c>
      <c r="D338" s="252">
        <f>E338</f>
        <v>65.675790000000006</v>
      </c>
      <c r="E338" s="252">
        <f>F338+F339</f>
        <v>65.675790000000006</v>
      </c>
      <c r="F338" s="243">
        <v>60.04842</v>
      </c>
      <c r="G338" s="201" t="s">
        <v>1449</v>
      </c>
    </row>
    <row r="339" spans="1:7" s="1" customFormat="1">
      <c r="A339" s="103"/>
      <c r="B339" s="103"/>
      <c r="C339" s="14" t="s">
        <v>1398</v>
      </c>
      <c r="D339" s="251"/>
      <c r="E339" s="251"/>
      <c r="F339" s="194">
        <v>5.62737</v>
      </c>
      <c r="G339" s="199"/>
    </row>
    <row r="340" spans="1:7" s="1" customFormat="1">
      <c r="A340" s="103"/>
      <c r="B340" s="103"/>
      <c r="C340" s="14" t="s">
        <v>1403</v>
      </c>
      <c r="D340" s="251"/>
      <c r="E340" s="251"/>
      <c r="F340" s="243"/>
      <c r="G340" s="193"/>
    </row>
    <row r="341" spans="1:7" s="1" customFormat="1">
      <c r="A341" s="103"/>
      <c r="B341" s="103"/>
      <c r="C341" s="14" t="s">
        <v>1402</v>
      </c>
      <c r="D341" s="251"/>
      <c r="E341" s="251"/>
      <c r="F341" s="243"/>
      <c r="G341" s="193"/>
    </row>
    <row r="342" spans="1:7" s="1" customFormat="1">
      <c r="A342" s="100"/>
      <c r="B342" s="100"/>
      <c r="C342" s="15" t="s">
        <v>1401</v>
      </c>
      <c r="D342" s="250"/>
      <c r="E342" s="250"/>
      <c r="F342" s="243"/>
      <c r="G342" s="193"/>
    </row>
    <row r="343" spans="1:7" s="1" customFormat="1">
      <c r="A343" s="101" t="s">
        <v>1451</v>
      </c>
      <c r="B343" s="101" t="s">
        <v>1451</v>
      </c>
      <c r="C343" s="15" t="s">
        <v>1404</v>
      </c>
      <c r="D343" s="252">
        <f>E343</f>
        <v>14.21053</v>
      </c>
      <c r="E343" s="252">
        <f>F343</f>
        <v>14.21053</v>
      </c>
      <c r="F343" s="243">
        <v>14.21053</v>
      </c>
      <c r="G343" s="201" t="s">
        <v>1449</v>
      </c>
    </row>
    <row r="344" spans="1:7" s="1" customFormat="1">
      <c r="A344" s="103"/>
      <c r="B344" s="103"/>
      <c r="C344" s="14" t="s">
        <v>1398</v>
      </c>
      <c r="D344" s="251"/>
      <c r="E344" s="251"/>
      <c r="F344" s="243"/>
      <c r="G344" s="199"/>
    </row>
    <row r="345" spans="1:7" s="1" customFormat="1">
      <c r="A345" s="103"/>
      <c r="B345" s="103"/>
      <c r="C345" s="14" t="s">
        <v>1403</v>
      </c>
      <c r="D345" s="251"/>
      <c r="E345" s="251"/>
      <c r="F345" s="243"/>
      <c r="G345" s="193"/>
    </row>
    <row r="346" spans="1:7" s="1" customFormat="1">
      <c r="A346" s="103"/>
      <c r="B346" s="103"/>
      <c r="C346" s="14" t="s">
        <v>1402</v>
      </c>
      <c r="D346" s="251"/>
      <c r="E346" s="251"/>
      <c r="F346" s="243"/>
      <c r="G346" s="193"/>
    </row>
    <row r="347" spans="1:7" s="1" customFormat="1">
      <c r="A347" s="100"/>
      <c r="B347" s="100"/>
      <c r="C347" s="15" t="s">
        <v>1401</v>
      </c>
      <c r="D347" s="250"/>
      <c r="E347" s="250"/>
      <c r="F347" s="243"/>
      <c r="G347" s="193"/>
    </row>
    <row r="348" spans="1:7" s="1" customFormat="1">
      <c r="A348" s="101" t="s">
        <v>1450</v>
      </c>
      <c r="B348" s="101" t="str">
        <f>A348</f>
        <v xml:space="preserve">«Капітальний ремонт дитячого майданчика по вул. Колодязна поблизу буд. №7 у Центральному районі м. Миколаєва» </v>
      </c>
      <c r="C348" s="15" t="s">
        <v>1404</v>
      </c>
      <c r="D348" s="252">
        <f>E348</f>
        <v>14.21053</v>
      </c>
      <c r="E348" s="252">
        <f>F348</f>
        <v>14.21053</v>
      </c>
      <c r="F348" s="243">
        <v>14.21053</v>
      </c>
      <c r="G348" s="201" t="s">
        <v>1449</v>
      </c>
    </row>
    <row r="349" spans="1:7" s="1" customFormat="1">
      <c r="A349" s="103"/>
      <c r="B349" s="103"/>
      <c r="C349" s="14" t="s">
        <v>1398</v>
      </c>
      <c r="D349" s="251"/>
      <c r="E349" s="251"/>
      <c r="F349" s="243"/>
      <c r="G349" s="199"/>
    </row>
    <row r="350" spans="1:7" s="1" customFormat="1">
      <c r="A350" s="103"/>
      <c r="B350" s="103"/>
      <c r="C350" s="14" t="s">
        <v>1403</v>
      </c>
      <c r="D350" s="251"/>
      <c r="E350" s="251"/>
      <c r="F350" s="243"/>
      <c r="G350" s="193"/>
    </row>
    <row r="351" spans="1:7" s="1" customFormat="1">
      <c r="A351" s="103"/>
      <c r="B351" s="103"/>
      <c r="C351" s="14" t="s">
        <v>1402</v>
      </c>
      <c r="D351" s="251"/>
      <c r="E351" s="251"/>
      <c r="F351" s="243"/>
      <c r="G351" s="193"/>
    </row>
    <row r="352" spans="1:7" s="1" customFormat="1">
      <c r="A352" s="100"/>
      <c r="B352" s="100"/>
      <c r="C352" s="15" t="s">
        <v>1401</v>
      </c>
      <c r="D352" s="250"/>
      <c r="E352" s="250"/>
      <c r="F352" s="243"/>
      <c r="G352" s="193"/>
    </row>
    <row r="353" spans="1:7" s="1" customFormat="1">
      <c r="A353" s="101" t="s">
        <v>1448</v>
      </c>
      <c r="B353" s="101" t="str">
        <f>A353</f>
        <v xml:space="preserve">«Капітальний ремонт дитячого майданчика по пр. Центральний поблизу буд. №152 у Центральному районі м. Миколаєва» </v>
      </c>
      <c r="C353" s="15" t="s">
        <v>1404</v>
      </c>
      <c r="D353" s="252">
        <v>300</v>
      </c>
      <c r="E353" s="252">
        <f>F353</f>
        <v>14.21053</v>
      </c>
      <c r="F353" s="208">
        <v>14.21053</v>
      </c>
      <c r="G353" s="201" t="s">
        <v>1447</v>
      </c>
    </row>
    <row r="354" spans="1:7" s="1" customFormat="1">
      <c r="A354" s="103"/>
      <c r="B354" s="103"/>
      <c r="C354" s="14" t="s">
        <v>1398</v>
      </c>
      <c r="D354" s="251"/>
      <c r="E354" s="251"/>
      <c r="F354" s="206"/>
      <c r="G354" s="228"/>
    </row>
    <row r="355" spans="1:7" s="1" customFormat="1">
      <c r="A355" s="103"/>
      <c r="B355" s="103"/>
      <c r="C355" s="14" t="s">
        <v>1403</v>
      </c>
      <c r="D355" s="251"/>
      <c r="E355" s="251"/>
      <c r="F355" s="243"/>
      <c r="G355" s="199"/>
    </row>
    <row r="356" spans="1:7" s="1" customFormat="1">
      <c r="A356" s="103"/>
      <c r="B356" s="103"/>
      <c r="C356" s="14" t="s">
        <v>1402</v>
      </c>
      <c r="D356" s="251"/>
      <c r="E356" s="251"/>
      <c r="F356" s="243"/>
      <c r="G356" s="193" t="s">
        <v>1446</v>
      </c>
    </row>
    <row r="357" spans="1:7" s="1" customFormat="1">
      <c r="A357" s="100"/>
      <c r="B357" s="100"/>
      <c r="C357" s="15" t="s">
        <v>1401</v>
      </c>
      <c r="D357" s="250"/>
      <c r="E357" s="250"/>
      <c r="F357" s="243"/>
      <c r="G357" s="193" t="s">
        <v>1445</v>
      </c>
    </row>
    <row r="358" spans="1:7" s="1" customFormat="1">
      <c r="A358" s="124" t="s">
        <v>1444</v>
      </c>
      <c r="B358" s="124" t="s">
        <v>1444</v>
      </c>
      <c r="C358" s="193"/>
      <c r="D358" s="249">
        <v>146.017</v>
      </c>
      <c r="E358" s="249"/>
      <c r="F358" s="243"/>
      <c r="G358" s="193"/>
    </row>
    <row r="359" spans="1:7" s="1" customFormat="1">
      <c r="A359" s="145" t="s">
        <v>1437</v>
      </c>
      <c r="B359" s="248"/>
      <c r="C359" s="193"/>
      <c r="D359" s="185">
        <f>D323+D328+D333+D338+D343+D348+D353+D358</f>
        <v>1120.0001699999998</v>
      </c>
      <c r="E359" s="185">
        <f>E323+E328+E333+E338+E343+E348+E353+E358</f>
        <v>299.99970000000002</v>
      </c>
      <c r="F359" s="184">
        <f>SUM(F323:F357)</f>
        <v>188.19370000000004</v>
      </c>
      <c r="G359" s="193"/>
    </row>
    <row r="360" spans="1:7" s="1" customFormat="1">
      <c r="A360" s="163" t="s">
        <v>1427</v>
      </c>
      <c r="B360" s="248"/>
      <c r="C360" s="193"/>
      <c r="D360" s="247"/>
      <c r="E360" s="247"/>
      <c r="F360" s="243"/>
      <c r="G360" s="193"/>
    </row>
    <row r="361" spans="1:7" s="1" customFormat="1">
      <c r="A361" s="101" t="s">
        <v>1443</v>
      </c>
      <c r="B361" s="101" t="str">
        <f>A361</f>
        <v xml:space="preserve"> «Капітальний ремонт скейт-майданчику "Drive" по вул. 116 Дивізії у Центральному районі м. Миколаєва» </v>
      </c>
      <c r="C361" s="15" t="s">
        <v>1404</v>
      </c>
      <c r="D361" s="246">
        <v>999.495</v>
      </c>
      <c r="E361" s="246">
        <v>580</v>
      </c>
      <c r="F361" s="200">
        <f>47.614+5.709+24.975</f>
        <v>78.298000000000002</v>
      </c>
      <c r="G361" s="201" t="s">
        <v>1425</v>
      </c>
    </row>
    <row r="362" spans="1:7" s="1" customFormat="1">
      <c r="A362" s="103"/>
      <c r="B362" s="103"/>
      <c r="C362" s="14" t="s">
        <v>1398</v>
      </c>
      <c r="D362" s="245"/>
      <c r="E362" s="245"/>
      <c r="F362" s="200">
        <v>4.2080000000000002</v>
      </c>
      <c r="G362" s="228"/>
    </row>
    <row r="363" spans="1:7" s="1" customFormat="1">
      <c r="A363" s="103"/>
      <c r="B363" s="103"/>
      <c r="C363" s="14" t="s">
        <v>1403</v>
      </c>
      <c r="D363" s="245"/>
      <c r="E363" s="245"/>
      <c r="F363" s="243"/>
      <c r="G363" s="199"/>
    </row>
    <row r="364" spans="1:7" s="1" customFormat="1">
      <c r="A364" s="103"/>
      <c r="B364" s="103"/>
      <c r="C364" s="14" t="s">
        <v>1402</v>
      </c>
      <c r="D364" s="245"/>
      <c r="E364" s="245"/>
      <c r="F364" s="243"/>
      <c r="G364" s="193" t="s">
        <v>1413</v>
      </c>
    </row>
    <row r="365" spans="1:7" s="1" customFormat="1">
      <c r="A365" s="100"/>
      <c r="B365" s="100"/>
      <c r="C365" s="15" t="s">
        <v>1401</v>
      </c>
      <c r="D365" s="244"/>
      <c r="E365" s="244"/>
      <c r="F365" s="243"/>
      <c r="G365" s="193" t="s">
        <v>1433</v>
      </c>
    </row>
    <row r="366" spans="1:7" s="1" customFormat="1">
      <c r="A366" s="145" t="s">
        <v>1437</v>
      </c>
      <c r="B366" s="186"/>
      <c r="C366" s="14"/>
      <c r="D366" s="185">
        <f>D360+D361</f>
        <v>999.495</v>
      </c>
      <c r="E366" s="185">
        <f>E360+E361</f>
        <v>580</v>
      </c>
      <c r="F366" s="184">
        <f>F361+F362+F363+F364+F365</f>
        <v>82.506</v>
      </c>
      <c r="G366" s="242"/>
    </row>
    <row r="367" spans="1:7" s="1" customFormat="1">
      <c r="A367" s="225" t="s">
        <v>1442</v>
      </c>
      <c r="B367" s="224"/>
      <c r="C367" s="223"/>
      <c r="D367" s="238"/>
      <c r="E367" s="238"/>
      <c r="F367" s="191"/>
      <c r="G367" s="241"/>
    </row>
    <row r="368" spans="1:7" s="1" customFormat="1">
      <c r="A368" s="101" t="s">
        <v>1441</v>
      </c>
      <c r="B368" s="101" t="s">
        <v>1441</v>
      </c>
      <c r="C368" s="15" t="s">
        <v>1404</v>
      </c>
      <c r="D368" s="202">
        <v>80</v>
      </c>
      <c r="E368" s="202">
        <v>80</v>
      </c>
      <c r="F368" s="216">
        <v>71.983999999999995</v>
      </c>
      <c r="G368" s="201" t="s">
        <v>1440</v>
      </c>
    </row>
    <row r="369" spans="1:7" s="1" customFormat="1">
      <c r="A369" s="103"/>
      <c r="B369" s="103"/>
      <c r="C369" s="15"/>
      <c r="D369" s="196"/>
      <c r="E369" s="196"/>
      <c r="F369" s="216">
        <v>8.016</v>
      </c>
      <c r="G369" s="199"/>
    </row>
    <row r="370" spans="1:7" s="1" customFormat="1">
      <c r="A370" s="145" t="s">
        <v>1437</v>
      </c>
      <c r="B370" s="240"/>
      <c r="C370" s="160"/>
      <c r="D370" s="236">
        <f>D368</f>
        <v>80</v>
      </c>
      <c r="E370" s="236">
        <f>E368</f>
        <v>80</v>
      </c>
      <c r="F370" s="184">
        <f>F368+F369</f>
        <v>80</v>
      </c>
      <c r="G370" s="239"/>
    </row>
    <row r="371" spans="1:7" s="1" customFormat="1">
      <c r="A371" s="225" t="s">
        <v>1439</v>
      </c>
      <c r="B371" s="224"/>
      <c r="C371" s="223"/>
      <c r="D371" s="238"/>
      <c r="E371" s="238"/>
      <c r="F371" s="194"/>
      <c r="G371" s="197"/>
    </row>
    <row r="372" spans="1:7" s="1" customFormat="1">
      <c r="A372" s="101" t="s">
        <v>1438</v>
      </c>
      <c r="B372" s="101" t="s">
        <v>1438</v>
      </c>
      <c r="C372" s="15" t="s">
        <v>1404</v>
      </c>
      <c r="D372" s="202">
        <v>1000</v>
      </c>
      <c r="E372" s="202">
        <v>46.45</v>
      </c>
      <c r="F372" s="208"/>
      <c r="G372" s="201" t="s">
        <v>1434</v>
      </c>
    </row>
    <row r="373" spans="1:7" s="1" customFormat="1">
      <c r="A373" s="103"/>
      <c r="B373" s="103"/>
      <c r="C373" s="15" t="s">
        <v>1398</v>
      </c>
      <c r="D373" s="198"/>
      <c r="E373" s="198"/>
      <c r="F373" s="206"/>
      <c r="G373" s="228"/>
    </row>
    <row r="374" spans="1:7" s="1" customFormat="1">
      <c r="A374" s="103"/>
      <c r="B374" s="103"/>
      <c r="C374" s="14" t="s">
        <v>1403</v>
      </c>
      <c r="D374" s="198"/>
      <c r="E374" s="198"/>
      <c r="F374" s="191"/>
      <c r="G374" s="199"/>
    </row>
    <row r="375" spans="1:7" s="1" customFormat="1">
      <c r="A375" s="103"/>
      <c r="B375" s="103"/>
      <c r="C375" s="14" t="s">
        <v>1402</v>
      </c>
      <c r="D375" s="198"/>
      <c r="E375" s="198"/>
      <c r="F375" s="191"/>
      <c r="G375" s="15" t="s">
        <v>1411</v>
      </c>
    </row>
    <row r="376" spans="1:7" s="1" customFormat="1">
      <c r="A376" s="100"/>
      <c r="B376" s="100"/>
      <c r="C376" s="14" t="s">
        <v>1401</v>
      </c>
      <c r="D376" s="196"/>
      <c r="E376" s="196"/>
      <c r="F376" s="191"/>
      <c r="G376" s="15" t="s">
        <v>1433</v>
      </c>
    </row>
    <row r="377" spans="1:7" s="1" customFormat="1">
      <c r="A377" s="145" t="s">
        <v>1437</v>
      </c>
      <c r="B377" s="237"/>
      <c r="C377" s="14"/>
      <c r="D377" s="236">
        <f>D372</f>
        <v>1000</v>
      </c>
      <c r="E377" s="236">
        <f>E372</f>
        <v>46.45</v>
      </c>
      <c r="F377" s="236">
        <f>F372</f>
        <v>0</v>
      </c>
      <c r="G377" s="197"/>
    </row>
    <row r="378" spans="1:7" s="1" customFormat="1">
      <c r="A378" s="225" t="s">
        <v>1436</v>
      </c>
      <c r="B378" s="224"/>
      <c r="C378" s="223"/>
      <c r="D378" s="235"/>
      <c r="E378" s="235"/>
      <c r="F378" s="191"/>
      <c r="G378" s="197"/>
    </row>
    <row r="379" spans="1:7" s="1" customFormat="1">
      <c r="A379" s="101" t="s">
        <v>1435</v>
      </c>
      <c r="B379" s="101" t="s">
        <v>1435</v>
      </c>
      <c r="C379" s="15" t="s">
        <v>1404</v>
      </c>
      <c r="D379" s="233">
        <f>E379</f>
        <v>317.63400000000001</v>
      </c>
      <c r="E379" s="234">
        <v>317.63400000000001</v>
      </c>
      <c r="F379" s="191">
        <v>24.3</v>
      </c>
      <c r="G379" s="201" t="s">
        <v>1434</v>
      </c>
    </row>
    <row r="380" spans="1:7" s="1" customFormat="1">
      <c r="A380" s="103"/>
      <c r="B380" s="103"/>
      <c r="C380" s="15" t="s">
        <v>1398</v>
      </c>
      <c r="D380" s="232"/>
      <c r="E380" s="234"/>
      <c r="F380" s="191">
        <v>9.5</v>
      </c>
      <c r="G380" s="199"/>
    </row>
    <row r="381" spans="1:7" s="1" customFormat="1">
      <c r="A381" s="103"/>
      <c r="B381" s="103"/>
      <c r="C381" s="14" t="s">
        <v>1403</v>
      </c>
      <c r="D381" s="232"/>
      <c r="E381" s="234"/>
      <c r="F381" s="191">
        <v>2.7</v>
      </c>
      <c r="G381" s="15"/>
    </row>
    <row r="382" spans="1:7" s="1" customFormat="1">
      <c r="A382" s="103"/>
      <c r="B382" s="103"/>
      <c r="C382" s="14" t="s">
        <v>1402</v>
      </c>
      <c r="D382" s="232"/>
      <c r="E382" s="234"/>
      <c r="F382" s="216">
        <v>7.6792299999999996</v>
      </c>
      <c r="G382" s="15" t="s">
        <v>1411</v>
      </c>
    </row>
    <row r="383" spans="1:7" s="1" customFormat="1">
      <c r="A383" s="100"/>
      <c r="B383" s="100"/>
      <c r="C383" s="14" t="s">
        <v>1401</v>
      </c>
      <c r="D383" s="230"/>
      <c r="E383" s="234"/>
      <c r="F383" s="191">
        <v>36.070999999999998</v>
      </c>
      <c r="G383" s="15" t="s">
        <v>1433</v>
      </c>
    </row>
    <row r="384" spans="1:7" s="1" customFormat="1">
      <c r="A384" s="101" t="s">
        <v>1432</v>
      </c>
      <c r="B384" s="101" t="s">
        <v>1432</v>
      </c>
      <c r="C384" s="14" t="s">
        <v>1403</v>
      </c>
      <c r="D384" s="233">
        <f>E384</f>
        <v>296.83300000000003</v>
      </c>
      <c r="E384" s="233">
        <v>296.83300000000003</v>
      </c>
      <c r="F384" s="216">
        <v>1.35</v>
      </c>
      <c r="G384" s="197" t="s">
        <v>1428</v>
      </c>
    </row>
    <row r="385" spans="1:7" s="1" customFormat="1">
      <c r="A385" s="103"/>
      <c r="B385" s="103"/>
      <c r="C385" s="14" t="s">
        <v>1402</v>
      </c>
      <c r="D385" s="232"/>
      <c r="E385" s="232"/>
      <c r="F385" s="216">
        <v>1.91052</v>
      </c>
      <c r="G385" s="15" t="s">
        <v>1411</v>
      </c>
    </row>
    <row r="386" spans="1:7" s="1" customFormat="1">
      <c r="A386" s="100"/>
      <c r="B386" s="100"/>
      <c r="C386" s="14" t="s">
        <v>1401</v>
      </c>
      <c r="D386" s="230"/>
      <c r="E386" s="230"/>
      <c r="F386" s="216">
        <v>147.64116000000001</v>
      </c>
      <c r="G386" s="197" t="s">
        <v>1431</v>
      </c>
    </row>
    <row r="387" spans="1:7" s="1" customFormat="1">
      <c r="A387" s="231" t="s">
        <v>1430</v>
      </c>
      <c r="B387" s="231" t="s">
        <v>1430</v>
      </c>
      <c r="C387" s="15" t="s">
        <v>1404</v>
      </c>
      <c r="D387" s="233">
        <v>369.83300000000003</v>
      </c>
      <c r="E387" s="233">
        <v>323.38299999999998</v>
      </c>
      <c r="F387" s="216">
        <v>13.5</v>
      </c>
      <c r="G387" s="201" t="s">
        <v>1428</v>
      </c>
    </row>
    <row r="388" spans="1:7" s="1" customFormat="1">
      <c r="A388" s="231"/>
      <c r="B388" s="231"/>
      <c r="C388" s="15" t="s">
        <v>1398</v>
      </c>
      <c r="D388" s="232"/>
      <c r="E388" s="232"/>
      <c r="F388" s="216">
        <v>4.9000000000000004</v>
      </c>
      <c r="G388" s="199"/>
    </row>
    <row r="389" spans="1:7" s="1" customFormat="1">
      <c r="A389" s="231"/>
      <c r="B389" s="231"/>
      <c r="C389" s="14" t="s">
        <v>1403</v>
      </c>
      <c r="D389" s="232"/>
      <c r="E389" s="232"/>
      <c r="F389" s="216"/>
      <c r="G389" s="197"/>
    </row>
    <row r="390" spans="1:7" s="1" customFormat="1">
      <c r="A390" s="231"/>
      <c r="B390" s="231"/>
      <c r="C390" s="14" t="s">
        <v>1402</v>
      </c>
      <c r="D390" s="232"/>
      <c r="E390" s="232"/>
      <c r="F390" s="216"/>
      <c r="G390" s="197"/>
    </row>
    <row r="391" spans="1:7" s="1" customFormat="1">
      <c r="A391" s="231"/>
      <c r="B391" s="231"/>
      <c r="C391" s="14" t="s">
        <v>1401</v>
      </c>
      <c r="D391" s="230"/>
      <c r="E391" s="230"/>
      <c r="F391" s="216"/>
      <c r="G391" s="197"/>
    </row>
    <row r="392" spans="1:7" s="1" customFormat="1">
      <c r="A392" s="231" t="s">
        <v>1429</v>
      </c>
      <c r="B392" s="231" t="s">
        <v>1429</v>
      </c>
      <c r="C392" s="15" t="s">
        <v>1404</v>
      </c>
      <c r="D392" s="233">
        <f>E392</f>
        <v>15.700000000000001</v>
      </c>
      <c r="E392" s="233">
        <f>F392+F393</f>
        <v>15.700000000000001</v>
      </c>
      <c r="F392" s="216">
        <v>10.8</v>
      </c>
      <c r="G392" s="201" t="s">
        <v>1428</v>
      </c>
    </row>
    <row r="393" spans="1:7" s="1" customFormat="1">
      <c r="A393" s="231"/>
      <c r="B393" s="231"/>
      <c r="C393" s="15" t="s">
        <v>1398</v>
      </c>
      <c r="D393" s="232"/>
      <c r="E393" s="232"/>
      <c r="F393" s="216">
        <v>4.9000000000000004</v>
      </c>
      <c r="G393" s="199"/>
    </row>
    <row r="394" spans="1:7" s="1" customFormat="1">
      <c r="A394" s="231"/>
      <c r="B394" s="231"/>
      <c r="C394" s="14" t="s">
        <v>1403</v>
      </c>
      <c r="D394" s="232"/>
      <c r="E394" s="232"/>
      <c r="F394" s="216"/>
      <c r="G394" s="197"/>
    </row>
    <row r="395" spans="1:7" s="1" customFormat="1">
      <c r="A395" s="231"/>
      <c r="B395" s="231"/>
      <c r="C395" s="14" t="s">
        <v>1402</v>
      </c>
      <c r="D395" s="232"/>
      <c r="E395" s="232"/>
      <c r="F395" s="216"/>
      <c r="G395" s="197"/>
    </row>
    <row r="396" spans="1:7" s="1" customFormat="1">
      <c r="A396" s="231"/>
      <c r="B396" s="231"/>
      <c r="C396" s="14" t="s">
        <v>1401</v>
      </c>
      <c r="D396" s="230"/>
      <c r="E396" s="230"/>
      <c r="F396" s="216"/>
      <c r="G396" s="197"/>
    </row>
    <row r="397" spans="1:7" s="1" customFormat="1">
      <c r="A397" s="225" t="s">
        <v>1395</v>
      </c>
      <c r="B397" s="224"/>
      <c r="C397" s="223"/>
      <c r="D397" s="229">
        <f>D379+D384+D387+D392</f>
        <v>1000.0000000000002</v>
      </c>
      <c r="E397" s="229">
        <f>E392+E387+E384+E379</f>
        <v>953.55</v>
      </c>
      <c r="F397" s="184">
        <f>SUM(F379:F396)</f>
        <v>265.25190999999995</v>
      </c>
      <c r="G397" s="197"/>
    </row>
    <row r="398" spans="1:7" s="1" customFormat="1">
      <c r="A398" s="225" t="s">
        <v>1427</v>
      </c>
      <c r="B398" s="224"/>
      <c r="C398" s="223"/>
      <c r="D398" s="229"/>
      <c r="E398" s="229"/>
      <c r="F398" s="191"/>
      <c r="G398" s="197"/>
    </row>
    <row r="399" spans="1:7" s="1" customFormat="1">
      <c r="A399" s="101" t="s">
        <v>1426</v>
      </c>
      <c r="B399" s="101" t="str">
        <f>A399</f>
        <v xml:space="preserve">Капітальний ремонт благоустрою скверу "Молодіжний" по вул. Променева у Центральному районі м. Миколаєва» </v>
      </c>
      <c r="C399" s="15" t="s">
        <v>1404</v>
      </c>
      <c r="D399" s="226">
        <v>974.25699999999995</v>
      </c>
      <c r="E399" s="208">
        <f>D399</f>
        <v>974.25699999999995</v>
      </c>
      <c r="F399" s="191">
        <v>57.231000000000002</v>
      </c>
      <c r="G399" s="201" t="s">
        <v>1425</v>
      </c>
    </row>
    <row r="400" spans="1:7" s="1" customFormat="1">
      <c r="A400" s="103"/>
      <c r="B400" s="103"/>
      <c r="C400" s="15" t="s">
        <v>1398</v>
      </c>
      <c r="D400" s="226"/>
      <c r="E400" s="227"/>
      <c r="F400" s="191"/>
      <c r="G400" s="228"/>
    </row>
    <row r="401" spans="1:7" s="1" customFormat="1">
      <c r="A401" s="103"/>
      <c r="B401" s="103"/>
      <c r="C401" s="14" t="s">
        <v>1403</v>
      </c>
      <c r="D401" s="226"/>
      <c r="E401" s="227"/>
      <c r="F401" s="191"/>
      <c r="G401" s="199"/>
    </row>
    <row r="402" spans="1:7" s="1" customFormat="1">
      <c r="A402" s="103"/>
      <c r="B402" s="103"/>
      <c r="C402" s="14" t="s">
        <v>1402</v>
      </c>
      <c r="D402" s="226"/>
      <c r="E402" s="227"/>
      <c r="F402" s="191"/>
      <c r="G402" s="15" t="s">
        <v>1411</v>
      </c>
    </row>
    <row r="403" spans="1:7" s="1" customFormat="1">
      <c r="A403" s="100"/>
      <c r="B403" s="100"/>
      <c r="C403" s="14" t="s">
        <v>1401</v>
      </c>
      <c r="D403" s="226"/>
      <c r="E403" s="206"/>
      <c r="F403" s="191"/>
      <c r="G403" s="186" t="s">
        <v>1424</v>
      </c>
    </row>
    <row r="404" spans="1:7" s="1" customFormat="1">
      <c r="A404" s="225" t="s">
        <v>1395</v>
      </c>
      <c r="B404" s="224"/>
      <c r="C404" s="223"/>
      <c r="D404" s="222">
        <f>D399</f>
        <v>974.25699999999995</v>
      </c>
      <c r="E404" s="222">
        <f>E399</f>
        <v>974.25699999999995</v>
      </c>
      <c r="F404" s="221">
        <f>F399</f>
        <v>57.231000000000002</v>
      </c>
      <c r="G404" s="197"/>
    </row>
    <row r="405" spans="1:7" s="1" customFormat="1">
      <c r="A405" s="214" t="s">
        <v>1423</v>
      </c>
      <c r="B405" s="214" t="s">
        <v>1423</v>
      </c>
      <c r="C405" s="15" t="s">
        <v>1404</v>
      </c>
      <c r="D405" s="220">
        <v>1500</v>
      </c>
      <c r="E405" s="220">
        <v>1463.587</v>
      </c>
      <c r="F405" s="194">
        <v>11.052630000000001</v>
      </c>
      <c r="G405" s="214" t="s">
        <v>235</v>
      </c>
    </row>
    <row r="406" spans="1:7" s="1" customFormat="1">
      <c r="A406" s="213"/>
      <c r="B406" s="213"/>
      <c r="C406" s="15" t="s">
        <v>1398</v>
      </c>
      <c r="D406" s="219"/>
      <c r="E406" s="219"/>
      <c r="F406" s="194">
        <v>8.6892600000000009</v>
      </c>
      <c r="G406" s="213"/>
    </row>
    <row r="407" spans="1:7" s="1" customFormat="1">
      <c r="A407" s="213"/>
      <c r="B407" s="213"/>
      <c r="C407" s="14" t="s">
        <v>1403</v>
      </c>
      <c r="D407" s="219"/>
      <c r="E407" s="219"/>
      <c r="F407" s="191"/>
      <c r="G407" s="212"/>
    </row>
    <row r="408" spans="1:7" s="1" customFormat="1">
      <c r="A408" s="213"/>
      <c r="B408" s="213"/>
      <c r="C408" s="14" t="s">
        <v>1402</v>
      </c>
      <c r="D408" s="219"/>
      <c r="E408" s="219"/>
      <c r="F408" s="191"/>
      <c r="G408" s="13" t="s">
        <v>1411</v>
      </c>
    </row>
    <row r="409" spans="1:7" s="1" customFormat="1">
      <c r="A409" s="212"/>
      <c r="B409" s="212"/>
      <c r="C409" s="14" t="s">
        <v>1401</v>
      </c>
      <c r="D409" s="218"/>
      <c r="E409" s="218"/>
      <c r="F409" s="191"/>
      <c r="G409" s="13" t="s">
        <v>1422</v>
      </c>
    </row>
    <row r="410" spans="1:7" s="1" customFormat="1">
      <c r="A410" s="66" t="s">
        <v>1421</v>
      </c>
      <c r="B410" s="66" t="s">
        <v>1421</v>
      </c>
      <c r="C410" s="14" t="s">
        <v>1403</v>
      </c>
      <c r="D410" s="215">
        <v>706.14300000000003</v>
      </c>
      <c r="E410" s="215">
        <v>675.72</v>
      </c>
      <c r="F410" s="200">
        <v>10.8</v>
      </c>
      <c r="G410" s="128" t="s">
        <v>239</v>
      </c>
    </row>
    <row r="411" spans="1:7" s="1" customFormat="1">
      <c r="A411" s="91"/>
      <c r="B411" s="91"/>
      <c r="C411" s="14" t="s">
        <v>1402</v>
      </c>
      <c r="D411" s="211"/>
      <c r="E411" s="211"/>
      <c r="F411" s="200">
        <v>9.7921200000000006</v>
      </c>
      <c r="G411" s="128" t="s">
        <v>1411</v>
      </c>
    </row>
    <row r="412" spans="1:7" s="1" customFormat="1">
      <c r="A412" s="64"/>
      <c r="B412" s="64"/>
      <c r="C412" s="14" t="s">
        <v>1401</v>
      </c>
      <c r="D412" s="210"/>
      <c r="E412" s="210"/>
      <c r="F412" s="200">
        <v>655.12805000000003</v>
      </c>
      <c r="G412" s="128" t="s">
        <v>1420</v>
      </c>
    </row>
    <row r="413" spans="1:7" s="1" customFormat="1">
      <c r="A413" s="66" t="s">
        <v>1419</v>
      </c>
      <c r="B413" s="66" t="s">
        <v>1419</v>
      </c>
      <c r="C413" s="14" t="s">
        <v>1403</v>
      </c>
      <c r="D413" s="215">
        <v>1495.43</v>
      </c>
      <c r="E413" s="215">
        <f>D413</f>
        <v>1495.43</v>
      </c>
      <c r="F413" s="191"/>
      <c r="G413" s="217" t="s">
        <v>1414</v>
      </c>
    </row>
    <row r="414" spans="1:7" s="1" customFormat="1">
      <c r="A414" s="91"/>
      <c r="B414" s="91"/>
      <c r="C414" s="14" t="s">
        <v>1402</v>
      </c>
      <c r="D414" s="211"/>
      <c r="E414" s="211"/>
      <c r="F414" s="191"/>
      <c r="G414" s="128" t="s">
        <v>1413</v>
      </c>
    </row>
    <row r="415" spans="1:7" s="1" customFormat="1">
      <c r="A415" s="64"/>
      <c r="B415" s="64"/>
      <c r="C415" s="14" t="s">
        <v>1401</v>
      </c>
      <c r="D415" s="210"/>
      <c r="E415" s="210"/>
      <c r="F415" s="191"/>
      <c r="G415" s="128" t="s">
        <v>1407</v>
      </c>
    </row>
    <row r="416" spans="1:7" s="1" customFormat="1">
      <c r="A416" s="66" t="s">
        <v>1418</v>
      </c>
      <c r="B416" s="66" t="s">
        <v>1418</v>
      </c>
      <c r="C416" s="15" t="s">
        <v>1404</v>
      </c>
      <c r="D416" s="215">
        <v>1113.5</v>
      </c>
      <c r="E416" s="215">
        <v>943.97</v>
      </c>
      <c r="F416" s="191"/>
      <c r="G416" s="217"/>
    </row>
    <row r="417" spans="1:7" s="1" customFormat="1">
      <c r="A417" s="91"/>
      <c r="B417" s="91"/>
      <c r="C417" s="15" t="s">
        <v>1398</v>
      </c>
      <c r="D417" s="211"/>
      <c r="E417" s="211"/>
      <c r="F417" s="191"/>
      <c r="G417" s="217"/>
    </row>
    <row r="418" spans="1:7" s="1" customFormat="1">
      <c r="A418" s="91"/>
      <c r="B418" s="91"/>
      <c r="C418" s="14" t="s">
        <v>1403</v>
      </c>
      <c r="D418" s="211"/>
      <c r="E418" s="211"/>
      <c r="F418" s="194">
        <v>8.4378899999999994</v>
      </c>
      <c r="G418" s="128" t="s">
        <v>1414</v>
      </c>
    </row>
    <row r="419" spans="1:7" s="1" customFormat="1">
      <c r="A419" s="91"/>
      <c r="B419" s="91"/>
      <c r="C419" s="14" t="s">
        <v>1402</v>
      </c>
      <c r="D419" s="211"/>
      <c r="E419" s="211"/>
      <c r="F419" s="194">
        <v>13.791930000000001</v>
      </c>
      <c r="G419" s="128" t="s">
        <v>1417</v>
      </c>
    </row>
    <row r="420" spans="1:7" s="1" customFormat="1">
      <c r="A420" s="64"/>
      <c r="B420" s="64"/>
      <c r="C420" s="14" t="s">
        <v>1401</v>
      </c>
      <c r="D420" s="210"/>
      <c r="E420" s="210"/>
      <c r="F420" s="191">
        <v>921.74027999999998</v>
      </c>
      <c r="G420" s="128" t="s">
        <v>1416</v>
      </c>
    </row>
    <row r="421" spans="1:7" s="1" customFormat="1">
      <c r="A421" s="66" t="s">
        <v>1415</v>
      </c>
      <c r="B421" s="66" t="s">
        <v>1415</v>
      </c>
      <c r="C421" s="14" t="s">
        <v>1403</v>
      </c>
      <c r="D421" s="215">
        <v>1487.6880000000001</v>
      </c>
      <c r="E421" s="215">
        <v>1322.3430000000001</v>
      </c>
      <c r="F421" s="216">
        <v>8.4378899999999994</v>
      </c>
      <c r="G421" s="128" t="s">
        <v>1414</v>
      </c>
    </row>
    <row r="422" spans="1:7" s="1" customFormat="1">
      <c r="A422" s="91"/>
      <c r="B422" s="91"/>
      <c r="C422" s="14" t="s">
        <v>1402</v>
      </c>
      <c r="D422" s="211"/>
      <c r="E422" s="211"/>
      <c r="F422" s="216">
        <v>19.364830000000001</v>
      </c>
      <c r="G422" s="128" t="s">
        <v>1413</v>
      </c>
    </row>
    <row r="423" spans="1:7" s="1" customFormat="1">
      <c r="A423" s="64"/>
      <c r="B423" s="64"/>
      <c r="C423" s="14" t="s">
        <v>1401</v>
      </c>
      <c r="D423" s="210"/>
      <c r="E423" s="210"/>
      <c r="F423" s="216">
        <v>1294.5397800000001</v>
      </c>
      <c r="G423" s="128" t="s">
        <v>1407</v>
      </c>
    </row>
    <row r="424" spans="1:7" s="1" customFormat="1">
      <c r="A424" s="66" t="s">
        <v>1412</v>
      </c>
      <c r="B424" s="66" t="str">
        <f>A424</f>
        <v>”Капітальний ремонт дороги приватного сектору по вул.Ходченка від будинку №38 до ДНЗ № 92 у Центральному районі м. Миколаєв</v>
      </c>
      <c r="C424" s="15" t="s">
        <v>1404</v>
      </c>
      <c r="D424" s="215">
        <v>1408.8209999999999</v>
      </c>
      <c r="E424" s="215">
        <v>117.71299999999999</v>
      </c>
      <c r="F424" s="200">
        <v>108.53895</v>
      </c>
      <c r="G424" s="214" t="s">
        <v>235</v>
      </c>
    </row>
    <row r="425" spans="1:7" s="1" customFormat="1">
      <c r="A425" s="91"/>
      <c r="B425" s="91"/>
      <c r="C425" s="14" t="s">
        <v>1398</v>
      </c>
      <c r="D425" s="211"/>
      <c r="E425" s="211"/>
      <c r="F425" s="200">
        <v>9.1743100000000002</v>
      </c>
      <c r="G425" s="213"/>
    </row>
    <row r="426" spans="1:7" s="1" customFormat="1">
      <c r="A426" s="91"/>
      <c r="B426" s="91"/>
      <c r="C426" s="14" t="s">
        <v>1403</v>
      </c>
      <c r="D426" s="211"/>
      <c r="E426" s="211"/>
      <c r="F426" s="209"/>
      <c r="G426" s="212"/>
    </row>
    <row r="427" spans="1:7" s="1" customFormat="1">
      <c r="A427" s="91"/>
      <c r="B427" s="91"/>
      <c r="C427" s="14" t="s">
        <v>1402</v>
      </c>
      <c r="D427" s="211"/>
      <c r="E427" s="211"/>
      <c r="F427" s="209"/>
      <c r="G427" s="15" t="s">
        <v>1411</v>
      </c>
    </row>
    <row r="428" spans="1:7" s="1" customFormat="1">
      <c r="A428" s="64"/>
      <c r="B428" s="64"/>
      <c r="C428" s="197" t="s">
        <v>1401</v>
      </c>
      <c r="D428" s="210"/>
      <c r="E428" s="210"/>
      <c r="F428" s="209"/>
      <c r="G428" s="128" t="s">
        <v>1410</v>
      </c>
    </row>
    <row r="429" spans="1:7" s="1" customFormat="1">
      <c r="A429" s="101" t="s">
        <v>1409</v>
      </c>
      <c r="B429" s="101" t="str">
        <f>A429</f>
        <v>«Капітальний ремонт дорожнього покриття по   вул. 1-а Госпітальна від вул. 8-а Воєнна до вул. Колесникова та по  вул. Колесникова від вул. 1-а Госпітальна до вул. Безіменна  у приватному секторі  Центрального  району м. Миколаєва»</v>
      </c>
      <c r="C429" s="15" t="s">
        <v>1404</v>
      </c>
      <c r="D429" s="202">
        <f>E429</f>
        <v>1361.6</v>
      </c>
      <c r="E429" s="203">
        <v>1361.6</v>
      </c>
      <c r="F429" s="208">
        <v>28.331</v>
      </c>
      <c r="G429" s="207" t="s">
        <v>235</v>
      </c>
    </row>
    <row r="430" spans="1:7" s="1" customFormat="1">
      <c r="A430" s="103"/>
      <c r="B430" s="103"/>
      <c r="C430" s="14" t="s">
        <v>1398</v>
      </c>
      <c r="D430" s="198"/>
      <c r="E430" s="203"/>
      <c r="F430" s="206"/>
      <c r="G430" s="205"/>
    </row>
    <row r="431" spans="1:7" s="1" customFormat="1">
      <c r="A431" s="103"/>
      <c r="B431" s="103"/>
      <c r="C431" s="14" t="s">
        <v>1403</v>
      </c>
      <c r="D431" s="198"/>
      <c r="E431" s="203"/>
      <c r="F431" s="194">
        <v>8.5263200000000001</v>
      </c>
      <c r="G431" s="204"/>
    </row>
    <row r="432" spans="1:7" s="1" customFormat="1" ht="31.5">
      <c r="A432" s="103"/>
      <c r="B432" s="103"/>
      <c r="C432" s="14" t="s">
        <v>1402</v>
      </c>
      <c r="D432" s="198"/>
      <c r="E432" s="203"/>
      <c r="F432" s="191">
        <v>17.647369999999999</v>
      </c>
      <c r="G432" s="15" t="s">
        <v>1408</v>
      </c>
    </row>
    <row r="433" spans="1:7" s="1" customFormat="1">
      <c r="A433" s="100"/>
      <c r="B433" s="100"/>
      <c r="C433" s="197" t="s">
        <v>1401</v>
      </c>
      <c r="D433" s="196"/>
      <c r="E433" s="203"/>
      <c r="F433" s="191">
        <v>1307.0947200000001</v>
      </c>
      <c r="G433" s="15" t="s">
        <v>1407</v>
      </c>
    </row>
    <row r="434" spans="1:7" s="1" customFormat="1">
      <c r="A434" s="101" t="s">
        <v>1406</v>
      </c>
      <c r="B434" s="101" t="s">
        <v>1406</v>
      </c>
      <c r="C434" s="15" t="s">
        <v>1404</v>
      </c>
      <c r="D434" s="202">
        <f>E434</f>
        <v>77.675789999999992</v>
      </c>
      <c r="E434" s="202">
        <f>F434+F435</f>
        <v>77.675789999999992</v>
      </c>
      <c r="F434" s="191">
        <v>69.894739999999999</v>
      </c>
      <c r="G434" s="201" t="s">
        <v>235</v>
      </c>
    </row>
    <row r="435" spans="1:7" s="1" customFormat="1">
      <c r="A435" s="100"/>
      <c r="B435" s="100"/>
      <c r="C435" s="14" t="s">
        <v>1398</v>
      </c>
      <c r="D435" s="196"/>
      <c r="E435" s="196"/>
      <c r="F435" s="194">
        <v>7.7810499999999996</v>
      </c>
      <c r="G435" s="199"/>
    </row>
    <row r="436" spans="1:7" s="1" customFormat="1">
      <c r="A436" s="101" t="s">
        <v>1405</v>
      </c>
      <c r="B436" s="101" t="s">
        <v>1405</v>
      </c>
      <c r="C436" s="15" t="s">
        <v>1404</v>
      </c>
      <c r="D436" s="202">
        <f>E436</f>
        <v>91.178739999999991</v>
      </c>
      <c r="E436" s="202">
        <f>F436+F437</f>
        <v>91.178739999999991</v>
      </c>
      <c r="F436" s="200">
        <v>82.015789999999996</v>
      </c>
      <c r="G436" s="201" t="s">
        <v>235</v>
      </c>
    </row>
    <row r="437" spans="1:7" s="1" customFormat="1">
      <c r="A437" s="103"/>
      <c r="B437" s="103"/>
      <c r="C437" s="14" t="s">
        <v>1398</v>
      </c>
      <c r="D437" s="198"/>
      <c r="E437" s="198"/>
      <c r="F437" s="200">
        <v>9.1629500000000004</v>
      </c>
      <c r="G437" s="199"/>
    </row>
    <row r="438" spans="1:7" s="1" customFormat="1">
      <c r="A438" s="103"/>
      <c r="B438" s="103"/>
      <c r="C438" s="14" t="s">
        <v>1403</v>
      </c>
      <c r="D438" s="198"/>
      <c r="E438" s="198"/>
      <c r="F438" s="194"/>
      <c r="G438" s="193"/>
    </row>
    <row r="439" spans="1:7" s="1" customFormat="1">
      <c r="A439" s="103"/>
      <c r="B439" s="103"/>
      <c r="C439" s="14" t="s">
        <v>1402</v>
      </c>
      <c r="D439" s="198"/>
      <c r="E439" s="198"/>
      <c r="F439" s="194"/>
      <c r="G439" s="193"/>
    </row>
    <row r="440" spans="1:7" s="1" customFormat="1">
      <c r="A440" s="100"/>
      <c r="B440" s="100"/>
      <c r="C440" s="197" t="s">
        <v>1401</v>
      </c>
      <c r="D440" s="196"/>
      <c r="E440" s="196"/>
      <c r="F440" s="194"/>
      <c r="G440" s="193"/>
    </row>
    <row r="441" spans="1:7" s="1" customFormat="1" ht="63">
      <c r="A441" s="61" t="s">
        <v>1400</v>
      </c>
      <c r="B441" s="61" t="s">
        <v>1400</v>
      </c>
      <c r="C441" s="14" t="s">
        <v>1398</v>
      </c>
      <c r="D441" s="195">
        <f>E441</f>
        <v>57.5</v>
      </c>
      <c r="E441" s="195">
        <f>F441</f>
        <v>57.5</v>
      </c>
      <c r="F441" s="194">
        <v>57.5</v>
      </c>
      <c r="G441" s="193" t="s">
        <v>1397</v>
      </c>
    </row>
    <row r="442" spans="1:7" s="1" customFormat="1" ht="63">
      <c r="A442" s="61" t="s">
        <v>1399</v>
      </c>
      <c r="B442" s="61" t="s">
        <v>1399</v>
      </c>
      <c r="C442" s="14" t="s">
        <v>1398</v>
      </c>
      <c r="D442" s="195">
        <v>58.243499999999997</v>
      </c>
      <c r="E442" s="195">
        <f>F442</f>
        <v>58.244</v>
      </c>
      <c r="F442" s="194">
        <v>58.244</v>
      </c>
      <c r="G442" s="193" t="s">
        <v>1397</v>
      </c>
    </row>
    <row r="443" spans="1:7" s="1" customFormat="1" ht="47.25">
      <c r="A443" s="13" t="s">
        <v>1396</v>
      </c>
      <c r="B443" s="51" t="s">
        <v>1396</v>
      </c>
      <c r="C443" s="15"/>
      <c r="D443" s="192">
        <v>87.5</v>
      </c>
      <c r="E443" s="192">
        <f>F443</f>
        <v>30.3185</v>
      </c>
      <c r="F443" s="191">
        <v>30.3185</v>
      </c>
      <c r="G443" s="186"/>
    </row>
    <row r="444" spans="1:7" s="1" customFormat="1">
      <c r="A444" s="190" t="s">
        <v>1395</v>
      </c>
      <c r="B444" s="172"/>
      <c r="C444" s="189"/>
      <c r="D444" s="188">
        <f>D405+D410+D413+D416+D421+D424+D429+D443+D434+D436+D441+D442</f>
        <v>9445.2800299999999</v>
      </c>
      <c r="E444" s="188">
        <f>SUM(E405:E443)</f>
        <v>7695.2800299999999</v>
      </c>
      <c r="F444" s="187">
        <f>SUM(F405:F443)</f>
        <v>4756.0043599999999</v>
      </c>
      <c r="G444" s="186"/>
    </row>
    <row r="445" spans="1:7" s="1" customFormat="1">
      <c r="A445" s="164"/>
      <c r="B445" s="164" t="s">
        <v>1</v>
      </c>
      <c r="C445" s="160" t="s">
        <v>0</v>
      </c>
      <c r="D445" s="185">
        <f>D321+D359+D366+D370+D377+D397+D404+D444</f>
        <v>23769.031889999998</v>
      </c>
      <c r="E445" s="185">
        <f>E321+E359+E366+E370+E377+E397+E404+E444</f>
        <v>16779.53659</v>
      </c>
      <c r="F445" s="184">
        <f>F321+F359+F366+F370+F377+F397+F404+F444</f>
        <v>11230.310390000002</v>
      </c>
      <c r="G445" s="160" t="s">
        <v>0</v>
      </c>
    </row>
    <row r="446" spans="1:7" s="1" customFormat="1">
      <c r="A446" s="183" t="s">
        <v>1394</v>
      </c>
      <c r="B446" s="183"/>
      <c r="C446" s="183"/>
      <c r="D446" s="183"/>
      <c r="E446" s="183"/>
      <c r="F446" s="183"/>
      <c r="G446" s="183"/>
    </row>
    <row r="447" spans="1:7" s="1" customFormat="1">
      <c r="A447" s="172">
        <v>4216011</v>
      </c>
      <c r="B447" s="172">
        <v>3132</v>
      </c>
      <c r="C447" s="51"/>
      <c r="D447" s="181"/>
      <c r="E447" s="181"/>
      <c r="F447" s="181"/>
      <c r="G447" s="135"/>
    </row>
    <row r="448" spans="1:7" s="1" customFormat="1">
      <c r="A448" s="70" t="s">
        <v>1393</v>
      </c>
      <c r="B448" s="70" t="s">
        <v>1393</v>
      </c>
      <c r="C448" s="182" t="s">
        <v>1390</v>
      </c>
      <c r="D448" s="36">
        <v>85</v>
      </c>
      <c r="E448" s="36">
        <v>85</v>
      </c>
      <c r="F448" s="36">
        <v>84.704999999999998</v>
      </c>
      <c r="G448" s="135" t="s">
        <v>1392</v>
      </c>
    </row>
    <row r="449" spans="1:7" s="1" customFormat="1">
      <c r="A449" s="70" t="s">
        <v>1391</v>
      </c>
      <c r="B449" s="70" t="s">
        <v>1391</v>
      </c>
      <c r="C449" s="182" t="s">
        <v>1390</v>
      </c>
      <c r="D449" s="181">
        <v>105</v>
      </c>
      <c r="E449" s="36">
        <v>105</v>
      </c>
      <c r="F449" s="36">
        <v>20.295000000000002</v>
      </c>
      <c r="G449" s="135" t="s">
        <v>1389</v>
      </c>
    </row>
    <row r="450" spans="1:7" s="1" customFormat="1" ht="47.25">
      <c r="A450" s="169" t="s">
        <v>1388</v>
      </c>
      <c r="B450" s="169" t="s">
        <v>1388</v>
      </c>
      <c r="C450" s="61" t="s">
        <v>1378</v>
      </c>
      <c r="D450" s="177">
        <v>977.00199999999995</v>
      </c>
      <c r="E450" s="173">
        <v>661</v>
      </c>
      <c r="F450" s="173">
        <v>46.72842</v>
      </c>
      <c r="G450" s="167" t="s">
        <v>1359</v>
      </c>
    </row>
    <row r="451" spans="1:7" s="1" customFormat="1" ht="47.25">
      <c r="A451" s="169" t="s">
        <v>1387</v>
      </c>
      <c r="B451" s="169" t="s">
        <v>1387</v>
      </c>
      <c r="C451" s="61" t="s">
        <v>1378</v>
      </c>
      <c r="D451" s="177">
        <v>640.97299999999996</v>
      </c>
      <c r="E451" s="173">
        <v>525</v>
      </c>
      <c r="F451" s="173">
        <v>36.202109999999998</v>
      </c>
      <c r="G451" s="167" t="s">
        <v>1359</v>
      </c>
    </row>
    <row r="452" spans="1:7" s="1" customFormat="1" ht="63">
      <c r="A452" s="61" t="s">
        <v>1386</v>
      </c>
      <c r="B452" s="61" t="s">
        <v>1386</v>
      </c>
      <c r="C452" s="61" t="s">
        <v>1378</v>
      </c>
      <c r="D452" s="177">
        <v>1133.181</v>
      </c>
      <c r="E452" s="173">
        <v>945</v>
      </c>
      <c r="F452" s="173">
        <v>944.89850999999999</v>
      </c>
      <c r="G452" s="167" t="s">
        <v>1359</v>
      </c>
    </row>
    <row r="453" spans="1:7" s="1" customFormat="1" ht="63">
      <c r="A453" s="61" t="s">
        <v>1385</v>
      </c>
      <c r="B453" s="61" t="s">
        <v>1385</v>
      </c>
      <c r="C453" s="61" t="s">
        <v>1378</v>
      </c>
      <c r="D453" s="177">
        <v>1215.095</v>
      </c>
      <c r="E453" s="173">
        <v>1100</v>
      </c>
      <c r="F453" s="173">
        <v>1089.7825600000001</v>
      </c>
      <c r="G453" s="167" t="s">
        <v>1359</v>
      </c>
    </row>
    <row r="454" spans="1:7" s="1" customFormat="1" ht="78.75">
      <c r="A454" s="61" t="s">
        <v>1384</v>
      </c>
      <c r="B454" s="61" t="s">
        <v>1384</v>
      </c>
      <c r="C454" s="61" t="s">
        <v>1378</v>
      </c>
      <c r="D454" s="177">
        <v>1446.8320000000001</v>
      </c>
      <c r="E454" s="173">
        <v>1500</v>
      </c>
      <c r="F454" s="173">
        <v>1466.9598900000001</v>
      </c>
      <c r="G454" s="167" t="s">
        <v>1359</v>
      </c>
    </row>
    <row r="455" spans="1:7" s="1" customFormat="1" ht="94.5">
      <c r="A455" s="61" t="s">
        <v>1383</v>
      </c>
      <c r="B455" s="61" t="s">
        <v>1383</v>
      </c>
      <c r="C455" s="61" t="s">
        <v>1378</v>
      </c>
      <c r="D455" s="177">
        <v>1441.0920000000001</v>
      </c>
      <c r="E455" s="173">
        <v>1400</v>
      </c>
      <c r="F455" s="173">
        <v>1345.00963</v>
      </c>
      <c r="G455" s="167" t="s">
        <v>1359</v>
      </c>
    </row>
    <row r="456" spans="1:7" s="1" customFormat="1" ht="78.75">
      <c r="A456" s="61" t="s">
        <v>1382</v>
      </c>
      <c r="B456" s="61" t="s">
        <v>1382</v>
      </c>
      <c r="C456" s="61" t="s">
        <v>1378</v>
      </c>
      <c r="D456" s="177">
        <v>472.762</v>
      </c>
      <c r="E456" s="173">
        <v>472</v>
      </c>
      <c r="F456" s="173">
        <v>423.94950999999998</v>
      </c>
      <c r="G456" s="167" t="s">
        <v>1359</v>
      </c>
    </row>
    <row r="457" spans="1:7" s="1" customFormat="1" ht="63">
      <c r="A457" s="61" t="s">
        <v>1381</v>
      </c>
      <c r="B457" s="61" t="s">
        <v>1381</v>
      </c>
      <c r="C457" s="61" t="s">
        <v>1378</v>
      </c>
      <c r="D457" s="177">
        <v>492.38900000000001</v>
      </c>
      <c r="E457" s="173">
        <v>437</v>
      </c>
      <c r="F457" s="173">
        <v>84.781959999999998</v>
      </c>
      <c r="G457" s="167" t="s">
        <v>1377</v>
      </c>
    </row>
    <row r="458" spans="1:7" s="1" customFormat="1" ht="63">
      <c r="A458" s="61" t="s">
        <v>1380</v>
      </c>
      <c r="B458" s="61" t="s">
        <v>1380</v>
      </c>
      <c r="C458" s="61" t="s">
        <v>1378</v>
      </c>
      <c r="D458" s="177">
        <v>1163.3910000000001</v>
      </c>
      <c r="E458" s="173">
        <v>450</v>
      </c>
      <c r="F458" s="173">
        <v>51.413679999999999</v>
      </c>
      <c r="G458" s="167" t="s">
        <v>1377</v>
      </c>
    </row>
    <row r="459" spans="1:7" s="1" customFormat="1" ht="63">
      <c r="A459" s="61" t="s">
        <v>1379</v>
      </c>
      <c r="B459" s="61" t="s">
        <v>1379</v>
      </c>
      <c r="C459" s="61" t="s">
        <v>1378</v>
      </c>
      <c r="D459" s="177">
        <v>1256.5329999999999</v>
      </c>
      <c r="E459" s="173">
        <v>849.25</v>
      </c>
      <c r="F459" s="173">
        <v>65.675790000000006</v>
      </c>
      <c r="G459" s="167" t="s">
        <v>1377</v>
      </c>
    </row>
    <row r="460" spans="1:7" s="1" customFormat="1">
      <c r="A460" s="169" t="s">
        <v>1366</v>
      </c>
      <c r="B460" s="169" t="s">
        <v>1366</v>
      </c>
      <c r="C460" s="61" t="s">
        <v>1374</v>
      </c>
      <c r="D460" s="177">
        <v>1000</v>
      </c>
      <c r="E460" s="173">
        <v>1000</v>
      </c>
      <c r="F460" s="173">
        <v>1000</v>
      </c>
      <c r="G460" s="167" t="s">
        <v>1376</v>
      </c>
    </row>
    <row r="461" spans="1:7" s="1" customFormat="1" ht="31.5">
      <c r="A461" s="169" t="s">
        <v>1375</v>
      </c>
      <c r="B461" s="169" t="s">
        <v>1375</v>
      </c>
      <c r="C461" s="61" t="s">
        <v>1374</v>
      </c>
      <c r="D461" s="177">
        <v>299.99900000000002</v>
      </c>
      <c r="E461" s="173">
        <v>299.99900000000002</v>
      </c>
      <c r="F461" s="173">
        <v>299.99</v>
      </c>
      <c r="G461" s="167" t="s">
        <v>1373</v>
      </c>
    </row>
    <row r="462" spans="1:7" s="1" customFormat="1">
      <c r="A462" s="61"/>
      <c r="B462" s="61"/>
      <c r="C462" s="61"/>
      <c r="D462" s="178">
        <f>SUM(D448:D461)</f>
        <v>11729.249</v>
      </c>
      <c r="E462" s="178">
        <f>SUM(E448:E461)</f>
        <v>9829.2489999999998</v>
      </c>
      <c r="F462" s="178">
        <f>SUM(F448:F461)</f>
        <v>6960.392060000001</v>
      </c>
      <c r="G462" s="167"/>
    </row>
    <row r="463" spans="1:7" s="1" customFormat="1">
      <c r="A463" s="172">
        <v>4216030</v>
      </c>
      <c r="B463" s="172">
        <v>3132</v>
      </c>
      <c r="C463" s="61"/>
      <c r="D463" s="177"/>
      <c r="E463" s="170"/>
      <c r="F463" s="170"/>
      <c r="G463" s="167"/>
    </row>
    <row r="464" spans="1:7" s="1" customFormat="1" ht="63">
      <c r="A464" s="137" t="s">
        <v>1372</v>
      </c>
      <c r="B464" s="137" t="s">
        <v>1372</v>
      </c>
      <c r="C464" s="169" t="s">
        <v>1369</v>
      </c>
      <c r="D464" s="177">
        <v>304</v>
      </c>
      <c r="E464" s="173">
        <v>304</v>
      </c>
      <c r="F464" s="175">
        <v>0</v>
      </c>
      <c r="G464" s="180" t="s">
        <v>1371</v>
      </c>
    </row>
    <row r="465" spans="1:7" s="1" customFormat="1" ht="63">
      <c r="A465" s="179" t="s">
        <v>1370</v>
      </c>
      <c r="B465" s="179" t="s">
        <v>1370</v>
      </c>
      <c r="C465" s="169" t="s">
        <v>1369</v>
      </c>
      <c r="D465" s="177">
        <v>60</v>
      </c>
      <c r="E465" s="173">
        <v>60</v>
      </c>
      <c r="F465" s="175">
        <v>0</v>
      </c>
      <c r="G465" s="174"/>
    </row>
    <row r="466" spans="1:7" s="1" customFormat="1" ht="94.5">
      <c r="A466" s="61" t="s">
        <v>1368</v>
      </c>
      <c r="B466" s="61" t="s">
        <v>1368</v>
      </c>
      <c r="C466" s="169" t="s">
        <v>1367</v>
      </c>
      <c r="D466" s="177">
        <v>45</v>
      </c>
      <c r="E466" s="173">
        <v>45</v>
      </c>
      <c r="F466" s="175">
        <v>40.650210000000001</v>
      </c>
      <c r="G466" s="174" t="s">
        <v>1354</v>
      </c>
    </row>
    <row r="467" spans="1:7" s="1" customFormat="1" ht="63">
      <c r="A467" s="169" t="s">
        <v>1366</v>
      </c>
      <c r="B467" s="169" t="s">
        <v>1366</v>
      </c>
      <c r="C467" s="169" t="s">
        <v>1364</v>
      </c>
      <c r="D467" s="177">
        <v>114</v>
      </c>
      <c r="E467" s="173">
        <v>100</v>
      </c>
      <c r="F467" s="175">
        <v>0</v>
      </c>
      <c r="G467" s="174"/>
    </row>
    <row r="468" spans="1:7" s="1" customFormat="1" ht="63">
      <c r="A468" s="169" t="s">
        <v>1365</v>
      </c>
      <c r="B468" s="169" t="s">
        <v>1365</v>
      </c>
      <c r="C468" s="169" t="s">
        <v>1364</v>
      </c>
      <c r="D468" s="177">
        <v>30</v>
      </c>
      <c r="E468" s="173">
        <v>0</v>
      </c>
      <c r="F468" s="175">
        <v>0</v>
      </c>
      <c r="G468" s="174"/>
    </row>
    <row r="469" spans="1:7" s="1" customFormat="1">
      <c r="A469" s="61"/>
      <c r="B469" s="61"/>
      <c r="C469" s="169"/>
      <c r="D469" s="178">
        <f>SUM(D464:D468)</f>
        <v>553</v>
      </c>
      <c r="E469" s="178">
        <f>SUM(E464:E468)</f>
        <v>509</v>
      </c>
      <c r="F469" s="178">
        <f>SUM(F464:F468)</f>
        <v>40.650210000000001</v>
      </c>
      <c r="G469" s="167"/>
    </row>
    <row r="470" spans="1:7" s="1" customFormat="1">
      <c r="A470" s="172">
        <v>4216020</v>
      </c>
      <c r="B470" s="172">
        <v>3132</v>
      </c>
      <c r="C470" s="169"/>
      <c r="D470" s="177"/>
      <c r="E470" s="170"/>
      <c r="F470" s="170"/>
      <c r="G470" s="167"/>
    </row>
    <row r="471" spans="1:7" s="1" customFormat="1" ht="63">
      <c r="A471" s="61" t="s">
        <v>1363</v>
      </c>
      <c r="B471" s="61" t="s">
        <v>1363</v>
      </c>
      <c r="C471" s="169" t="s">
        <v>1362</v>
      </c>
      <c r="D471" s="177">
        <v>163</v>
      </c>
      <c r="E471" s="170">
        <v>163</v>
      </c>
      <c r="F471" s="173">
        <v>160.21308999999999</v>
      </c>
      <c r="G471" s="167" t="s">
        <v>1361</v>
      </c>
    </row>
    <row r="472" spans="1:7" s="1" customFormat="1">
      <c r="A472" s="61"/>
      <c r="B472" s="61"/>
      <c r="C472" s="169"/>
      <c r="D472" s="178">
        <f>D471</f>
        <v>163</v>
      </c>
      <c r="E472" s="178">
        <f>E471</f>
        <v>163</v>
      </c>
      <c r="F472" s="178">
        <f>F471</f>
        <v>160.21308999999999</v>
      </c>
      <c r="G472" s="167"/>
    </row>
    <row r="473" spans="1:7" s="1" customFormat="1">
      <c r="A473" s="172">
        <v>4217461</v>
      </c>
      <c r="B473" s="172">
        <v>3132</v>
      </c>
      <c r="C473" s="169"/>
      <c r="D473" s="177"/>
      <c r="E473" s="170"/>
      <c r="F473" s="170"/>
      <c r="G473" s="167"/>
    </row>
    <row r="474" spans="1:7" s="1" customFormat="1" ht="78.75">
      <c r="A474" s="61" t="s">
        <v>1360</v>
      </c>
      <c r="B474" s="61" t="s">
        <v>1360</v>
      </c>
      <c r="C474" s="169" t="s">
        <v>1355</v>
      </c>
      <c r="D474" s="177">
        <v>2685.9859999999999</v>
      </c>
      <c r="E474" s="173">
        <v>2685.9854999999998</v>
      </c>
      <c r="F474" s="173">
        <v>98.863579999999999</v>
      </c>
      <c r="G474" s="167" t="s">
        <v>1359</v>
      </c>
    </row>
    <row r="475" spans="1:7" s="1" customFormat="1" ht="63">
      <c r="A475" s="176" t="s">
        <v>1358</v>
      </c>
      <c r="B475" s="176" t="s">
        <v>1358</v>
      </c>
      <c r="C475" s="169" t="s">
        <v>1355</v>
      </c>
      <c r="D475" s="171">
        <v>3049.9989999999998</v>
      </c>
      <c r="E475" s="173">
        <v>3049.9989999999998</v>
      </c>
      <c r="F475" s="175">
        <v>0</v>
      </c>
      <c r="G475" s="174"/>
    </row>
    <row r="476" spans="1:7" s="1" customFormat="1" ht="63">
      <c r="A476" s="43" t="s">
        <v>1357</v>
      </c>
      <c r="B476" s="43" t="s">
        <v>1357</v>
      </c>
      <c r="C476" s="169" t="s">
        <v>1355</v>
      </c>
      <c r="D476" s="171">
        <v>54.29</v>
      </c>
      <c r="E476" s="173">
        <v>54.29</v>
      </c>
      <c r="F476" s="173">
        <v>54.289470000000001</v>
      </c>
      <c r="G476" s="167" t="s">
        <v>1354</v>
      </c>
    </row>
    <row r="477" spans="1:7" s="1" customFormat="1" ht="63">
      <c r="A477" s="43" t="s">
        <v>1356</v>
      </c>
      <c r="B477" s="43" t="s">
        <v>1356</v>
      </c>
      <c r="C477" s="169" t="s">
        <v>1355</v>
      </c>
      <c r="D477" s="171">
        <v>76.905000000000001</v>
      </c>
      <c r="E477" s="173">
        <v>76.905000000000001</v>
      </c>
      <c r="F477" s="173">
        <v>76.904070000000004</v>
      </c>
      <c r="G477" s="167" t="s">
        <v>1354</v>
      </c>
    </row>
    <row r="478" spans="1:7" s="1" customFormat="1">
      <c r="A478" s="43"/>
      <c r="B478" s="43"/>
      <c r="C478" s="169"/>
      <c r="D478" s="168">
        <f>D474+D475+D476+D477</f>
        <v>5867.1799999999994</v>
      </c>
      <c r="E478" s="168">
        <f>E474+E475+E476+E477</f>
        <v>5867.1794999999993</v>
      </c>
      <c r="F478" s="168">
        <f>F474+F475+F476+F477</f>
        <v>230.05712</v>
      </c>
      <c r="G478" s="167"/>
    </row>
    <row r="479" spans="1:7" s="1" customFormat="1">
      <c r="A479" s="172"/>
      <c r="B479" s="172"/>
      <c r="C479" s="169"/>
      <c r="D479" s="171"/>
      <c r="E479" s="170"/>
      <c r="F479" s="170"/>
      <c r="G479" s="167"/>
    </row>
    <row r="480" spans="1:7" s="1" customFormat="1">
      <c r="A480" s="43"/>
      <c r="B480" s="43"/>
      <c r="C480" s="169"/>
      <c r="D480" s="171"/>
      <c r="E480" s="170"/>
      <c r="F480" s="170"/>
      <c r="G480" s="167"/>
    </row>
    <row r="481" spans="1:7" s="1" customFormat="1">
      <c r="A481" s="43"/>
      <c r="B481" s="43"/>
      <c r="C481" s="169"/>
      <c r="D481" s="168"/>
      <c r="E481" s="168"/>
      <c r="F481" s="168"/>
      <c r="G481" s="167"/>
    </row>
    <row r="482" spans="1:7" s="1" customFormat="1">
      <c r="A482" s="70"/>
      <c r="B482" s="163" t="s">
        <v>1</v>
      </c>
      <c r="C482" s="162" t="s">
        <v>0</v>
      </c>
      <c r="D482" s="166">
        <f>D481+D478+D472+D469+D462</f>
        <v>18312.429</v>
      </c>
      <c r="E482" s="166">
        <f>E481+E478+E472+E469+E462</f>
        <v>16368.428499999998</v>
      </c>
      <c r="F482" s="166">
        <f>F481+F478+F472+F469+F462</f>
        <v>7391.3124800000014</v>
      </c>
      <c r="G482" s="162" t="s">
        <v>0</v>
      </c>
    </row>
    <row r="483" spans="1:7" s="1" customFormat="1">
      <c r="A483" s="165" t="s">
        <v>1353</v>
      </c>
      <c r="B483" s="165"/>
      <c r="C483" s="165"/>
      <c r="D483" s="165"/>
      <c r="E483" s="165"/>
      <c r="F483" s="165"/>
      <c r="G483" s="165"/>
    </row>
    <row r="484" spans="1:7" s="1" customFormat="1">
      <c r="A484" s="164"/>
      <c r="B484" s="163" t="s">
        <v>1</v>
      </c>
      <c r="C484" s="162" t="s">
        <v>0</v>
      </c>
      <c r="D484" s="161" t="s">
        <v>0</v>
      </c>
      <c r="E484" s="161" t="s">
        <v>0</v>
      </c>
      <c r="F484" s="161" t="s">
        <v>0</v>
      </c>
      <c r="G484" s="160"/>
    </row>
    <row r="485" spans="1:7" s="1" customFormat="1">
      <c r="A485" s="159" t="s">
        <v>1352</v>
      </c>
      <c r="B485" s="159"/>
      <c r="C485" s="159"/>
      <c r="D485" s="159"/>
      <c r="E485" s="159"/>
      <c r="F485" s="159"/>
      <c r="G485" s="159"/>
    </row>
    <row r="486" spans="1:7" s="1" customFormat="1">
      <c r="A486" s="145"/>
      <c r="B486" s="145" t="s">
        <v>1320</v>
      </c>
      <c r="C486" s="145"/>
      <c r="D486" s="144">
        <f>SUM(D487:D499)</f>
        <v>32687.327999999998</v>
      </c>
      <c r="E486" s="144">
        <f>SUM(E487:E499)</f>
        <v>17101.397000000001</v>
      </c>
      <c r="F486" s="144">
        <f>SUM(F487:F499)</f>
        <v>13028.559020000001</v>
      </c>
      <c r="G486" s="145"/>
    </row>
    <row r="487" spans="1:7" s="1" customFormat="1" ht="63">
      <c r="A487" s="61" t="s">
        <v>1351</v>
      </c>
      <c r="B487" s="61" t="s">
        <v>1350</v>
      </c>
      <c r="C487" s="61" t="s">
        <v>1320</v>
      </c>
      <c r="D487" s="146">
        <v>6563.1</v>
      </c>
      <c r="E487" s="146">
        <v>964.75300000000004</v>
      </c>
      <c r="F487" s="146">
        <v>956.68114000000003</v>
      </c>
      <c r="G487" s="61" t="s">
        <v>1349</v>
      </c>
    </row>
    <row r="488" spans="1:7" s="1" customFormat="1" ht="78.75">
      <c r="A488" s="61" t="s">
        <v>1348</v>
      </c>
      <c r="B488" s="61" t="s">
        <v>1347</v>
      </c>
      <c r="C488" s="61" t="s">
        <v>1320</v>
      </c>
      <c r="D488" s="146">
        <v>6876</v>
      </c>
      <c r="E488" s="146">
        <v>3717.22</v>
      </c>
      <c r="F488" s="146">
        <v>2732.1581799999999</v>
      </c>
      <c r="G488" s="61" t="s">
        <v>1346</v>
      </c>
    </row>
    <row r="489" spans="1:7" s="1" customFormat="1" ht="94.5">
      <c r="A489" s="61" t="s">
        <v>1345</v>
      </c>
      <c r="B489" s="61" t="s">
        <v>1344</v>
      </c>
      <c r="C489" s="61" t="s">
        <v>1320</v>
      </c>
      <c r="D489" s="146">
        <v>3804</v>
      </c>
      <c r="E489" s="146">
        <v>3183.2420000000002</v>
      </c>
      <c r="F489" s="146">
        <v>1484.57008</v>
      </c>
      <c r="G489" s="61" t="s">
        <v>1343</v>
      </c>
    </row>
    <row r="490" spans="1:7" s="1" customFormat="1" ht="78.75">
      <c r="A490" s="61" t="s">
        <v>1342</v>
      </c>
      <c r="B490" s="61" t="s">
        <v>1341</v>
      </c>
      <c r="C490" s="61" t="s">
        <v>1320</v>
      </c>
      <c r="D490" s="146">
        <v>7201.8950000000004</v>
      </c>
      <c r="E490" s="146">
        <v>3872.2779999999998</v>
      </c>
      <c r="F490" s="146">
        <v>3539.2365100000002</v>
      </c>
      <c r="G490" s="61" t="s">
        <v>1340</v>
      </c>
    </row>
    <row r="491" spans="1:7" s="1" customFormat="1" ht="63">
      <c r="A491" s="61" t="s">
        <v>1339</v>
      </c>
      <c r="B491" s="61" t="s">
        <v>1338</v>
      </c>
      <c r="C491" s="61" t="s">
        <v>1320</v>
      </c>
      <c r="D491" s="146">
        <v>500</v>
      </c>
      <c r="E491" s="146">
        <v>332.89400000000001</v>
      </c>
      <c r="F491" s="146">
        <v>77.894090000000006</v>
      </c>
      <c r="G491" s="61" t="s">
        <v>1337</v>
      </c>
    </row>
    <row r="492" spans="1:7" s="1" customFormat="1" ht="47.25">
      <c r="A492" s="61" t="s">
        <v>1319</v>
      </c>
      <c r="B492" s="61" t="s">
        <v>1336</v>
      </c>
      <c r="C492" s="61" t="s">
        <v>1320</v>
      </c>
      <c r="D492" s="146">
        <v>1650</v>
      </c>
      <c r="E492" s="146">
        <v>1000</v>
      </c>
      <c r="F492" s="146">
        <v>797.19731999999999</v>
      </c>
      <c r="G492" s="61" t="s">
        <v>1335</v>
      </c>
    </row>
    <row r="493" spans="1:7" s="1" customFormat="1" ht="31.5">
      <c r="A493" s="61" t="s">
        <v>1334</v>
      </c>
      <c r="B493" s="61" t="s">
        <v>1333</v>
      </c>
      <c r="C493" s="61" t="s">
        <v>1320</v>
      </c>
      <c r="D493" s="146">
        <v>300</v>
      </c>
      <c r="E493" s="146">
        <v>0</v>
      </c>
      <c r="F493" s="146">
        <v>0</v>
      </c>
      <c r="G493" s="61"/>
    </row>
    <row r="494" spans="1:7" s="1" customFormat="1" ht="63">
      <c r="A494" s="61" t="s">
        <v>1332</v>
      </c>
      <c r="B494" s="61" t="s">
        <v>1331</v>
      </c>
      <c r="C494" s="61" t="s">
        <v>1320</v>
      </c>
      <c r="D494" s="146">
        <v>302.83300000000003</v>
      </c>
      <c r="E494" s="146">
        <v>299.86200000000002</v>
      </c>
      <c r="F494" s="146">
        <v>0</v>
      </c>
      <c r="G494" s="61" t="s">
        <v>1330</v>
      </c>
    </row>
    <row r="495" spans="1:7" s="1" customFormat="1" ht="47.25">
      <c r="A495" s="61" t="s">
        <v>1329</v>
      </c>
      <c r="B495" s="61" t="s">
        <v>1328</v>
      </c>
      <c r="C495" s="61" t="s">
        <v>1320</v>
      </c>
      <c r="D495" s="146">
        <v>300</v>
      </c>
      <c r="E495" s="146">
        <v>0</v>
      </c>
      <c r="F495" s="146">
        <v>0</v>
      </c>
      <c r="G495" s="61"/>
    </row>
    <row r="496" spans="1:7" s="1" customFormat="1" ht="78.75">
      <c r="A496" s="61" t="s">
        <v>1327</v>
      </c>
      <c r="B496" s="61" t="s">
        <v>1326</v>
      </c>
      <c r="C496" s="61" t="s">
        <v>1320</v>
      </c>
      <c r="D496" s="146">
        <v>5000</v>
      </c>
      <c r="E496" s="146">
        <v>3731.1480000000001</v>
      </c>
      <c r="F496" s="146">
        <v>3440.8217</v>
      </c>
      <c r="G496" s="61" t="s">
        <v>1325</v>
      </c>
    </row>
    <row r="497" spans="1:7" s="1" customFormat="1" ht="31.5">
      <c r="A497" s="61" t="s">
        <v>1324</v>
      </c>
      <c r="B497" s="61" t="s">
        <v>1323</v>
      </c>
      <c r="C497" s="61" t="s">
        <v>1320</v>
      </c>
      <c r="D497" s="146">
        <v>1</v>
      </c>
      <c r="E497" s="146">
        <v>0</v>
      </c>
      <c r="F497" s="146">
        <v>0</v>
      </c>
      <c r="G497" s="61"/>
    </row>
    <row r="498" spans="1:7" s="1" customFormat="1" ht="47.25">
      <c r="A498" s="61" t="s">
        <v>1322</v>
      </c>
      <c r="B498" s="61" t="s">
        <v>1321</v>
      </c>
      <c r="C498" s="61" t="s">
        <v>1320</v>
      </c>
      <c r="D498" s="146">
        <v>50</v>
      </c>
      <c r="E498" s="146">
        <v>0</v>
      </c>
      <c r="F498" s="146">
        <v>0</v>
      </c>
      <c r="G498" s="61"/>
    </row>
    <row r="499" spans="1:7" s="1" customFormat="1" ht="47.25">
      <c r="A499" s="61" t="s">
        <v>1319</v>
      </c>
      <c r="B499" s="61" t="s">
        <v>1318</v>
      </c>
      <c r="C499" s="61" t="s">
        <v>1317</v>
      </c>
      <c r="D499" s="146">
        <v>138.5</v>
      </c>
      <c r="E499" s="146">
        <v>0</v>
      </c>
      <c r="F499" s="146">
        <v>0</v>
      </c>
      <c r="G499" s="61"/>
    </row>
    <row r="500" spans="1:7" s="1" customFormat="1" ht="31.5">
      <c r="A500" s="61"/>
      <c r="B500" s="145" t="s">
        <v>1316</v>
      </c>
      <c r="C500" s="61"/>
      <c r="D500" s="144">
        <f>D501</f>
        <v>535.11500000000001</v>
      </c>
      <c r="E500" s="146"/>
      <c r="F500" s="146"/>
      <c r="G500" s="61"/>
    </row>
    <row r="501" spans="1:7" s="1" customFormat="1" ht="47.25">
      <c r="A501" s="61" t="s">
        <v>1315</v>
      </c>
      <c r="B501" s="61" t="s">
        <v>1314</v>
      </c>
      <c r="C501" s="61" t="s">
        <v>1313</v>
      </c>
      <c r="D501" s="146">
        <v>535.11500000000001</v>
      </c>
      <c r="E501" s="146">
        <v>0</v>
      </c>
      <c r="F501" s="146">
        <v>0</v>
      </c>
      <c r="G501" s="61"/>
    </row>
    <row r="502" spans="1:7" s="1" customFormat="1" ht="31.5">
      <c r="A502" s="145">
        <v>1317640</v>
      </c>
      <c r="B502" s="158" t="s">
        <v>1312</v>
      </c>
      <c r="C502" s="157"/>
      <c r="D502" s="144">
        <f>D503+D798+D802+D804+D790+D817+D819</f>
        <v>76932.17200000002</v>
      </c>
      <c r="E502" s="144">
        <f>E503+E798+E802+E804+E790+E817+E819</f>
        <v>63796.171999999977</v>
      </c>
      <c r="F502" s="144">
        <f>F503+F798+F802+F804+F790+F817+F819</f>
        <v>50558.381689999973</v>
      </c>
      <c r="G502" s="61"/>
    </row>
    <row r="503" spans="1:7" s="1" customFormat="1" ht="47.25">
      <c r="A503" s="145"/>
      <c r="B503" s="145" t="s">
        <v>725</v>
      </c>
      <c r="C503" s="145"/>
      <c r="D503" s="144">
        <f>SUM(D504:D789)</f>
        <v>50152.172000000013</v>
      </c>
      <c r="E503" s="144">
        <f>SUM(E504:E789)</f>
        <v>43554.366999999977</v>
      </c>
      <c r="F503" s="144">
        <f>SUM(F504:F789)</f>
        <v>43248.235639999977</v>
      </c>
      <c r="G503" s="145"/>
    </row>
    <row r="504" spans="1:7" s="1" customFormat="1" ht="63">
      <c r="A504" s="61" t="s">
        <v>1311</v>
      </c>
      <c r="B504" s="61" t="s">
        <v>1310</v>
      </c>
      <c r="C504" s="61" t="s">
        <v>725</v>
      </c>
      <c r="D504" s="155">
        <f>168.89587+2.7408+1.134+0.00274</f>
        <v>172.77340999999998</v>
      </c>
      <c r="E504" s="155">
        <v>168.80405999999999</v>
      </c>
      <c r="F504" s="155">
        <v>168.80405999999999</v>
      </c>
      <c r="G504" s="61" t="s">
        <v>1291</v>
      </c>
    </row>
    <row r="505" spans="1:7" s="1" customFormat="1" ht="63">
      <c r="A505" s="51" t="s">
        <v>1309</v>
      </c>
      <c r="B505" s="51" t="s">
        <v>1308</v>
      </c>
      <c r="C505" s="61" t="s">
        <v>725</v>
      </c>
      <c r="D505" s="155">
        <f>166.72706+2.70538+1.134</f>
        <v>170.56643999999997</v>
      </c>
      <c r="E505" s="155">
        <v>168.71728999999999</v>
      </c>
      <c r="F505" s="155">
        <v>168.71728999999999</v>
      </c>
      <c r="G505" s="61" t="s">
        <v>1291</v>
      </c>
    </row>
    <row r="506" spans="1:7" s="1" customFormat="1" ht="63">
      <c r="A506" s="51" t="s">
        <v>1307</v>
      </c>
      <c r="B506" s="51" t="s">
        <v>1306</v>
      </c>
      <c r="C506" s="61" t="s">
        <v>725</v>
      </c>
      <c r="D506" s="155">
        <f>252.59509+4.09611+1.134+0.0181</f>
        <v>257.8433</v>
      </c>
      <c r="E506" s="155">
        <v>252.40591000000001</v>
      </c>
      <c r="F506" s="155">
        <v>252.40591000000001</v>
      </c>
      <c r="G506" s="61" t="s">
        <v>1291</v>
      </c>
    </row>
    <row r="507" spans="1:7" s="1" customFormat="1" ht="63">
      <c r="A507" s="51" t="s">
        <v>1305</v>
      </c>
      <c r="B507" s="51" t="s">
        <v>1304</v>
      </c>
      <c r="C507" s="61" t="s">
        <v>725</v>
      </c>
      <c r="D507" s="155">
        <f>164.64953+2.67173+1.134+0.00332</f>
        <v>168.45857999999998</v>
      </c>
      <c r="E507" s="155">
        <v>164.61876000000001</v>
      </c>
      <c r="F507" s="155">
        <v>164.61876000000001</v>
      </c>
      <c r="G507" s="61" t="s">
        <v>1291</v>
      </c>
    </row>
    <row r="508" spans="1:7" s="1" customFormat="1" ht="63">
      <c r="A508" s="51" t="s">
        <v>1303</v>
      </c>
      <c r="B508" s="51" t="s">
        <v>1302</v>
      </c>
      <c r="C508" s="61" t="s">
        <v>725</v>
      </c>
      <c r="D508" s="155">
        <f>153.00864+2.48748+1.134</f>
        <v>156.63012000000001</v>
      </c>
      <c r="E508" s="155">
        <f>143.64763+2.33135</f>
        <v>145.97897999999998</v>
      </c>
      <c r="F508" s="155">
        <f>143.64763+2.33135</f>
        <v>145.97897999999998</v>
      </c>
      <c r="G508" s="61" t="s">
        <v>1291</v>
      </c>
    </row>
    <row r="509" spans="1:7" s="1" customFormat="1" ht="63">
      <c r="A509" s="51" t="s">
        <v>1301</v>
      </c>
      <c r="B509" s="51" t="s">
        <v>1300</v>
      </c>
      <c r="C509" s="61" t="s">
        <v>725</v>
      </c>
      <c r="D509" s="155">
        <f>188.86068+3.08102+1.134+0.0012</f>
        <v>193.07689999999999</v>
      </c>
      <c r="E509" s="155">
        <v>188.84741</v>
      </c>
      <c r="F509" s="155">
        <v>188.84741</v>
      </c>
      <c r="G509" s="61" t="s">
        <v>1291</v>
      </c>
    </row>
    <row r="510" spans="1:7" s="1" customFormat="1" ht="63">
      <c r="A510" s="51" t="s">
        <v>1299</v>
      </c>
      <c r="B510" s="51" t="s">
        <v>1298</v>
      </c>
      <c r="C510" s="61" t="s">
        <v>725</v>
      </c>
      <c r="D510" s="155">
        <f>99.9899+1.61399+1.134+0.01629</f>
        <v>102.75418000000001</v>
      </c>
      <c r="E510" s="155">
        <v>99.989900000000006</v>
      </c>
      <c r="F510" s="155">
        <v>99.989900000000006</v>
      </c>
      <c r="G510" s="61" t="s">
        <v>1291</v>
      </c>
    </row>
    <row r="511" spans="1:7" s="1" customFormat="1" ht="63">
      <c r="A511" s="51" t="s">
        <v>1297</v>
      </c>
      <c r="B511" s="51" t="s">
        <v>1296</v>
      </c>
      <c r="C511" s="61" t="s">
        <v>725</v>
      </c>
      <c r="D511" s="155">
        <f>360.86292+5.83825+1.4112+0.00617</f>
        <v>368.11854</v>
      </c>
      <c r="E511" s="155">
        <v>360.69101000000001</v>
      </c>
      <c r="F511" s="155">
        <v>360.69101000000001</v>
      </c>
      <c r="G511" s="61" t="s">
        <v>1291</v>
      </c>
    </row>
    <row r="512" spans="1:7" s="1" customFormat="1" ht="63">
      <c r="A512" s="51" t="s">
        <v>1295</v>
      </c>
      <c r="B512" s="51" t="s">
        <v>1294</v>
      </c>
      <c r="C512" s="61" t="s">
        <v>725</v>
      </c>
      <c r="D512" s="155">
        <f>225.90502+3.64358+0.02122</f>
        <v>229.56982000000002</v>
      </c>
      <c r="E512" s="155">
        <f>192.72193+32.72285</f>
        <v>225.44477999999998</v>
      </c>
      <c r="F512" s="155">
        <f>192.72193+32.72285</f>
        <v>225.44477999999998</v>
      </c>
      <c r="G512" s="61" t="s">
        <v>1291</v>
      </c>
    </row>
    <row r="513" spans="1:7" s="1" customFormat="1" ht="63">
      <c r="A513" s="51" t="s">
        <v>1293</v>
      </c>
      <c r="B513" s="51" t="s">
        <v>1292</v>
      </c>
      <c r="C513" s="61" t="s">
        <v>725</v>
      </c>
      <c r="D513" s="155">
        <f>157.89521+2.5735+1.134</f>
        <v>161.60270999999997</v>
      </c>
      <c r="E513" s="155">
        <f>139.77203+2.28041</f>
        <v>142.05243999999999</v>
      </c>
      <c r="F513" s="155">
        <f>139.77203+2.28041</f>
        <v>142.05243999999999</v>
      </c>
      <c r="G513" s="61" t="s">
        <v>1291</v>
      </c>
    </row>
    <row r="514" spans="1:7" s="1" customFormat="1" ht="47.25">
      <c r="A514" s="51" t="s">
        <v>1290</v>
      </c>
      <c r="B514" s="51" t="s">
        <v>1289</v>
      </c>
      <c r="C514" s="61" t="s">
        <v>725</v>
      </c>
      <c r="D514" s="155">
        <f>40.42961+0.69954</f>
        <v>41.129149999999996</v>
      </c>
      <c r="E514" s="155">
        <f>24.06847+16.36114</f>
        <v>40.429609999999997</v>
      </c>
      <c r="F514" s="155">
        <f>24.06847+16.36114</f>
        <v>40.429609999999997</v>
      </c>
      <c r="G514" s="61" t="s">
        <v>771</v>
      </c>
    </row>
    <row r="515" spans="1:7" s="1" customFormat="1" ht="47.25">
      <c r="A515" s="51" t="s">
        <v>1288</v>
      </c>
      <c r="B515" s="51" t="s">
        <v>1287</v>
      </c>
      <c r="C515" s="61" t="s">
        <v>725</v>
      </c>
      <c r="D515" s="155">
        <f>89.15326+1.57553</f>
        <v>90.728790000000004</v>
      </c>
      <c r="E515" s="155">
        <f>57.13104+32.02222</f>
        <v>89.153259999999989</v>
      </c>
      <c r="F515" s="155">
        <f>57.13104+32.02222</f>
        <v>89.153259999999989</v>
      </c>
      <c r="G515" s="61" t="s">
        <v>771</v>
      </c>
    </row>
    <row r="516" spans="1:7" s="1" customFormat="1" ht="47.25">
      <c r="A516" s="51" t="s">
        <v>1286</v>
      </c>
      <c r="B516" s="51" t="s">
        <v>1285</v>
      </c>
      <c r="C516" s="61" t="s">
        <v>725</v>
      </c>
      <c r="D516" s="155">
        <f>340.51004+5.56189</f>
        <v>346.07193000000001</v>
      </c>
      <c r="E516" s="155">
        <f>322.93744+17.56999+5.56168</f>
        <v>346.06911000000002</v>
      </c>
      <c r="F516" s="155">
        <f>322.93744+17.56999+5.56168</f>
        <v>346.06911000000002</v>
      </c>
      <c r="G516" s="61" t="s">
        <v>1282</v>
      </c>
    </row>
    <row r="517" spans="1:7" s="1" customFormat="1" ht="47.25">
      <c r="A517" s="51" t="s">
        <v>1284</v>
      </c>
      <c r="B517" s="51" t="s">
        <v>1283</v>
      </c>
      <c r="C517" s="150" t="s">
        <v>725</v>
      </c>
      <c r="D517" s="155">
        <f>334.75415+5.46557</f>
        <v>340.21972</v>
      </c>
      <c r="E517" s="155">
        <f>316.51806+18.23284+5.46557</f>
        <v>340.21647000000002</v>
      </c>
      <c r="F517" s="155">
        <f>316.51806+18.23284+5.46557</f>
        <v>340.21647000000002</v>
      </c>
      <c r="G517" s="61" t="s">
        <v>1282</v>
      </c>
    </row>
    <row r="518" spans="1:7" s="1" customFormat="1" ht="47.25">
      <c r="A518" s="51" t="s">
        <v>1281</v>
      </c>
      <c r="B518" s="51" t="s">
        <v>1280</v>
      </c>
      <c r="C518" s="61" t="s">
        <v>725</v>
      </c>
      <c r="D518" s="155">
        <f>188.97174+3.05852+1.134+0.01705</f>
        <v>193.18131</v>
      </c>
      <c r="E518" s="155">
        <v>188.48454000000001</v>
      </c>
      <c r="F518" s="155">
        <v>188.48454000000001</v>
      </c>
      <c r="G518" s="61" t="s">
        <v>1273</v>
      </c>
    </row>
    <row r="519" spans="1:7" s="1" customFormat="1" ht="47.25">
      <c r="A519" s="51" t="s">
        <v>1279</v>
      </c>
      <c r="B519" s="51" t="s">
        <v>1278</v>
      </c>
      <c r="C519" s="61" t="s">
        <v>725</v>
      </c>
      <c r="D519" s="155">
        <v>2.0403699999999998</v>
      </c>
      <c r="E519" s="155">
        <v>0</v>
      </c>
      <c r="F519" s="156">
        <v>0</v>
      </c>
      <c r="G519" s="150"/>
    </row>
    <row r="520" spans="1:7" s="1" customFormat="1" ht="47.25">
      <c r="A520" s="51" t="s">
        <v>1277</v>
      </c>
      <c r="B520" s="51" t="s">
        <v>1276</v>
      </c>
      <c r="C520" s="61" t="s">
        <v>725</v>
      </c>
      <c r="D520" s="155">
        <f>230.34611+3.74301+1.134+0.0061</f>
        <v>235.22922</v>
      </c>
      <c r="E520" s="155">
        <v>230.34611000000001</v>
      </c>
      <c r="F520" s="155">
        <v>230.34611000000001</v>
      </c>
      <c r="G520" s="61" t="s">
        <v>1273</v>
      </c>
    </row>
    <row r="521" spans="1:7" s="1" customFormat="1" ht="47.25">
      <c r="A521" s="51" t="s">
        <v>1275</v>
      </c>
      <c r="B521" s="51" t="s">
        <v>1274</v>
      </c>
      <c r="C521" s="61" t="s">
        <v>725</v>
      </c>
      <c r="D521" s="155">
        <f>339.72023+5.54474+0.01076</f>
        <v>345.27573000000001</v>
      </c>
      <c r="E521" s="155">
        <f>324.36533+15.35459</f>
        <v>339.71991999999995</v>
      </c>
      <c r="F521" s="155">
        <f>324.36533+15.35459</f>
        <v>339.71991999999995</v>
      </c>
      <c r="G521" s="61" t="s">
        <v>1273</v>
      </c>
    </row>
    <row r="522" spans="1:7" s="1" customFormat="1" ht="47.25">
      <c r="A522" s="51" t="s">
        <v>1272</v>
      </c>
      <c r="B522" s="51" t="s">
        <v>1271</v>
      </c>
      <c r="C522" s="61" t="s">
        <v>725</v>
      </c>
      <c r="D522" s="155">
        <f>10.01418+185.65653+1.421</f>
        <v>197.09171000000001</v>
      </c>
      <c r="E522" s="155">
        <f>7.06257+129.95957</f>
        <v>137.02214000000001</v>
      </c>
      <c r="F522" s="155">
        <f>7.06257+129.95957</f>
        <v>137.02214000000001</v>
      </c>
      <c r="G522" s="61" t="s">
        <v>1054</v>
      </c>
    </row>
    <row r="523" spans="1:7" s="1" customFormat="1" ht="47.25">
      <c r="A523" s="51" t="s">
        <v>1270</v>
      </c>
      <c r="B523" s="51" t="s">
        <v>1269</v>
      </c>
      <c r="C523" s="61" t="s">
        <v>725</v>
      </c>
      <c r="D523" s="155">
        <f>196.02047+3.17909+0.945+0.01186</f>
        <v>200.15642</v>
      </c>
      <c r="E523" s="155">
        <v>195.96316999999999</v>
      </c>
      <c r="F523" s="155">
        <v>195.96316999999999</v>
      </c>
      <c r="G523" s="61" t="s">
        <v>747</v>
      </c>
    </row>
    <row r="524" spans="1:7" s="1" customFormat="1" ht="47.25">
      <c r="A524" s="51" t="s">
        <v>1268</v>
      </c>
      <c r="B524" s="51" t="s">
        <v>1267</v>
      </c>
      <c r="C524" s="61" t="s">
        <v>725</v>
      </c>
      <c r="D524" s="155">
        <f>66.36209+1.20184</f>
        <v>67.563929999999999</v>
      </c>
      <c r="E524" s="155">
        <f>46.45346+17.85912</f>
        <v>64.312579999999997</v>
      </c>
      <c r="F524" s="155">
        <f>46.45346+17.85912</f>
        <v>64.312579999999997</v>
      </c>
      <c r="G524" s="61" t="s">
        <v>771</v>
      </c>
    </row>
    <row r="525" spans="1:7" s="1" customFormat="1" ht="47.25">
      <c r="A525" s="51" t="s">
        <v>1266</v>
      </c>
      <c r="B525" s="51" t="s">
        <v>1265</v>
      </c>
      <c r="C525" s="61" t="s">
        <v>725</v>
      </c>
      <c r="D525" s="155">
        <f>93.78715+1.70727</f>
        <v>95.494419999999991</v>
      </c>
      <c r="E525" s="155">
        <f>65.65101-35.92838+14.78956</f>
        <v>44.512190000000004</v>
      </c>
      <c r="F525" s="155">
        <f>65.65101-35.92838+14.78956</f>
        <v>44.512190000000004</v>
      </c>
      <c r="G525" s="61" t="s">
        <v>771</v>
      </c>
    </row>
    <row r="526" spans="1:7" s="1" customFormat="1" ht="47.25">
      <c r="A526" s="51" t="s">
        <v>1264</v>
      </c>
      <c r="B526" s="51" t="s">
        <v>1263</v>
      </c>
      <c r="C526" s="61" t="s">
        <v>725</v>
      </c>
      <c r="D526" s="155">
        <f>7.37755+137.45593+1.0465</f>
        <v>145.87998000000002</v>
      </c>
      <c r="E526" s="155">
        <f>5.20536+96.21915</f>
        <v>101.42451</v>
      </c>
      <c r="F526" s="155">
        <f>5.20536+96.21915</f>
        <v>101.42451</v>
      </c>
      <c r="G526" s="61" t="s">
        <v>1059</v>
      </c>
    </row>
    <row r="527" spans="1:7" s="1" customFormat="1" ht="47.25">
      <c r="A527" s="51" t="s">
        <v>1262</v>
      </c>
      <c r="B527" s="51" t="s">
        <v>1261</v>
      </c>
      <c r="C527" s="61" t="s">
        <v>725</v>
      </c>
      <c r="D527" s="155">
        <f>73.66206+1.33114</f>
        <v>74.993200000000002</v>
      </c>
      <c r="E527" s="155">
        <f>45.62615+27.25797</f>
        <v>72.884119999999996</v>
      </c>
      <c r="F527" s="155">
        <f>45.62615+27.25797</f>
        <v>72.884119999999996</v>
      </c>
      <c r="G527" s="61" t="s">
        <v>771</v>
      </c>
    </row>
    <row r="528" spans="1:7" s="1" customFormat="1" ht="47.25">
      <c r="A528" s="51" t="s">
        <v>1260</v>
      </c>
      <c r="B528" s="51" t="s">
        <v>1259</v>
      </c>
      <c r="C528" s="61" t="s">
        <v>725</v>
      </c>
      <c r="D528" s="155">
        <f>141.6911+2.55912</f>
        <v>144.25022000000001</v>
      </c>
      <c r="E528" s="155">
        <f>99.18377-9.32977+44.96384</f>
        <v>134.81783999999999</v>
      </c>
      <c r="F528" s="155">
        <f>99.18377-9.32977+44.96384</f>
        <v>134.81783999999999</v>
      </c>
      <c r="G528" s="61" t="s">
        <v>771</v>
      </c>
    </row>
    <row r="529" spans="1:7" s="1" customFormat="1" ht="47.25">
      <c r="A529" s="51" t="s">
        <v>1258</v>
      </c>
      <c r="B529" s="51" t="s">
        <v>1257</v>
      </c>
      <c r="C529" s="61" t="s">
        <v>725</v>
      </c>
      <c r="D529" s="155">
        <f>224.44553+4.05039</f>
        <v>228.49591999999998</v>
      </c>
      <c r="E529" s="155">
        <f>125.94841+77.00023</f>
        <v>202.94864000000001</v>
      </c>
      <c r="F529" s="155">
        <f>125.94841+77.00023</f>
        <v>202.94864000000001</v>
      </c>
      <c r="G529" s="61" t="s">
        <v>771</v>
      </c>
    </row>
    <row r="530" spans="1:7" s="1" customFormat="1" ht="47.25">
      <c r="A530" s="51" t="s">
        <v>1256</v>
      </c>
      <c r="B530" s="51" t="s">
        <v>1255</v>
      </c>
      <c r="C530" s="61" t="s">
        <v>725</v>
      </c>
      <c r="D530" s="155">
        <f>98.71917+1.76441</f>
        <v>100.48358</v>
      </c>
      <c r="E530" s="155">
        <f>64.12168-19.39136+22.1953</f>
        <v>66.925619999999995</v>
      </c>
      <c r="F530" s="155">
        <f>64.12168-19.39136+22.1953</f>
        <v>66.925619999999995</v>
      </c>
      <c r="G530" s="61" t="s">
        <v>771</v>
      </c>
    </row>
    <row r="531" spans="1:7" s="1" customFormat="1" ht="47.25">
      <c r="A531" s="51" t="s">
        <v>1254</v>
      </c>
      <c r="B531" s="51" t="s">
        <v>1253</v>
      </c>
      <c r="C531" s="61" t="s">
        <v>725</v>
      </c>
      <c r="D531" s="155">
        <f>39.57527+0.70678</f>
        <v>40.282050000000005</v>
      </c>
      <c r="E531" s="155">
        <f>24.50675+15.06852</f>
        <v>39.575270000000003</v>
      </c>
      <c r="F531" s="155">
        <f>24.50675+15.06852</f>
        <v>39.575270000000003</v>
      </c>
      <c r="G531" s="61" t="s">
        <v>771</v>
      </c>
    </row>
    <row r="532" spans="1:7" s="1" customFormat="1" ht="47.25">
      <c r="A532" s="51" t="s">
        <v>1252</v>
      </c>
      <c r="B532" s="51" t="s">
        <v>1251</v>
      </c>
      <c r="C532" s="61" t="s">
        <v>725</v>
      </c>
      <c r="D532" s="155">
        <f>39.40646+0.70361</f>
        <v>40.11007</v>
      </c>
      <c r="E532" s="155">
        <f>23.88469+15.52177</f>
        <v>39.406459999999996</v>
      </c>
      <c r="F532" s="155">
        <f>23.88469+15.52177</f>
        <v>39.406459999999996</v>
      </c>
      <c r="G532" s="61" t="s">
        <v>771</v>
      </c>
    </row>
    <row r="533" spans="1:7" s="1" customFormat="1" ht="47.25">
      <c r="A533" s="51" t="s">
        <v>1250</v>
      </c>
      <c r="B533" s="51" t="s">
        <v>1249</v>
      </c>
      <c r="C533" s="61" t="s">
        <v>725</v>
      </c>
      <c r="D533" s="155">
        <f>39.04502+0.69686</f>
        <v>39.741880000000002</v>
      </c>
      <c r="E533" s="155">
        <f>24.10105+14.94397</f>
        <v>39.045020000000001</v>
      </c>
      <c r="F533" s="155">
        <f>24.10105+14.94397</f>
        <v>39.045020000000001</v>
      </c>
      <c r="G533" s="61" t="s">
        <v>771</v>
      </c>
    </row>
    <row r="534" spans="1:7" s="1" customFormat="1" ht="47.25">
      <c r="A534" s="51" t="s">
        <v>1248</v>
      </c>
      <c r="B534" s="51" t="s">
        <v>1247</v>
      </c>
      <c r="C534" s="61" t="s">
        <v>725</v>
      </c>
      <c r="D534" s="155">
        <f>481.72673+7.87108+0.00028</f>
        <v>489.59808999999996</v>
      </c>
      <c r="E534" s="155">
        <f>457.99028+23.72319</f>
        <v>481.71346999999997</v>
      </c>
      <c r="F534" s="155">
        <f>457.99028+23.72319</f>
        <v>481.71346999999997</v>
      </c>
      <c r="G534" s="61" t="s">
        <v>747</v>
      </c>
    </row>
    <row r="535" spans="1:7" s="1" customFormat="1" ht="63">
      <c r="A535" s="51" t="s">
        <v>1246</v>
      </c>
      <c r="B535" s="51" t="s">
        <v>1245</v>
      </c>
      <c r="C535" s="61" t="s">
        <v>725</v>
      </c>
      <c r="D535" s="155">
        <f>284.28401+4.60157+0.945+0.03513</f>
        <v>289.86570999999998</v>
      </c>
      <c r="E535" s="155">
        <v>284.27235999999999</v>
      </c>
      <c r="F535" s="155">
        <v>284.27235999999999</v>
      </c>
      <c r="G535" s="61" t="s">
        <v>1244</v>
      </c>
    </row>
    <row r="536" spans="1:7" s="1" customFormat="1" ht="47.25">
      <c r="A536" s="51" t="s">
        <v>1243</v>
      </c>
      <c r="B536" s="51" t="s">
        <v>1242</v>
      </c>
      <c r="C536" s="61" t="s">
        <v>725</v>
      </c>
      <c r="D536" s="155">
        <f>23.05521+433.07477+3.269</f>
        <v>459.39897999999999</v>
      </c>
      <c r="E536" s="155">
        <f>16.36877+294.31517</f>
        <v>310.68394000000001</v>
      </c>
      <c r="F536" s="155">
        <f>16.36877+294.31517</f>
        <v>310.68394000000001</v>
      </c>
      <c r="G536" s="61" t="s">
        <v>1054</v>
      </c>
    </row>
    <row r="537" spans="1:7" s="1" customFormat="1" ht="47.25">
      <c r="A537" s="51" t="s">
        <v>1241</v>
      </c>
      <c r="B537" s="51" t="s">
        <v>1240</v>
      </c>
      <c r="C537" s="61" t="s">
        <v>725</v>
      </c>
      <c r="D537" s="155">
        <f>224.74861+4.04881</f>
        <v>228.79742000000002</v>
      </c>
      <c r="E537" s="155">
        <f>153.77381-11.46252+62.93227</f>
        <v>205.24356</v>
      </c>
      <c r="F537" s="155">
        <f>153.77381-11.46252+62.93227</f>
        <v>205.24356</v>
      </c>
      <c r="G537" s="61" t="s">
        <v>771</v>
      </c>
    </row>
    <row r="538" spans="1:7" s="1" customFormat="1" ht="47.25">
      <c r="A538" s="51" t="s">
        <v>1239</v>
      </c>
      <c r="B538" s="51" t="s">
        <v>1238</v>
      </c>
      <c r="C538" s="61" t="s">
        <v>725</v>
      </c>
      <c r="D538" s="155">
        <f>35.18088+0.61754</f>
        <v>35.79842</v>
      </c>
      <c r="E538" s="155">
        <f>22.14295+11.34349</f>
        <v>33.486440000000002</v>
      </c>
      <c r="F538" s="155">
        <f>22.14295+11.34349</f>
        <v>33.486440000000002</v>
      </c>
      <c r="G538" s="61" t="s">
        <v>771</v>
      </c>
    </row>
    <row r="539" spans="1:7" s="1" customFormat="1" ht="47.25">
      <c r="A539" s="51" t="s">
        <v>1237</v>
      </c>
      <c r="B539" s="51" t="s">
        <v>1236</v>
      </c>
      <c r="C539" s="61" t="s">
        <v>725</v>
      </c>
      <c r="D539" s="155">
        <f>107.2467+1.92083</f>
        <v>109.16753</v>
      </c>
      <c r="E539" s="155">
        <f>68.51689-19.83875+24.06888</f>
        <v>72.747019999999992</v>
      </c>
      <c r="F539" s="155">
        <f>68.51689-19.83875+24.06888</f>
        <v>72.747019999999992</v>
      </c>
      <c r="G539" s="61" t="s">
        <v>771</v>
      </c>
    </row>
    <row r="540" spans="1:7" s="1" customFormat="1" ht="47.25">
      <c r="A540" s="51" t="s">
        <v>1235</v>
      </c>
      <c r="B540" s="51" t="s">
        <v>1234</v>
      </c>
      <c r="C540" s="61" t="s">
        <v>725</v>
      </c>
      <c r="D540" s="155">
        <f>71.55032+1.29281</f>
        <v>72.843130000000002</v>
      </c>
      <c r="E540" s="155">
        <f>50.08522+20.59426</f>
        <v>70.679479999999998</v>
      </c>
      <c r="F540" s="155">
        <f>50.08522+20.59426</f>
        <v>70.679479999999998</v>
      </c>
      <c r="G540" s="61" t="s">
        <v>771</v>
      </c>
    </row>
    <row r="541" spans="1:7" s="1" customFormat="1" ht="47.25">
      <c r="A541" s="51" t="s">
        <v>1233</v>
      </c>
      <c r="B541" s="51" t="s">
        <v>1232</v>
      </c>
      <c r="C541" s="61" t="s">
        <v>725</v>
      </c>
      <c r="D541" s="155">
        <f>184.17853+0.945+2.97812+0.02545</f>
        <v>188.12709999999998</v>
      </c>
      <c r="E541" s="155">
        <f>160.80491+23.363</f>
        <v>184.16791000000001</v>
      </c>
      <c r="F541" s="155">
        <f>160.80491+23.363</f>
        <v>184.16791000000001</v>
      </c>
      <c r="G541" s="61" t="s">
        <v>738</v>
      </c>
    </row>
    <row r="542" spans="1:7" s="1" customFormat="1" ht="47.25">
      <c r="A542" s="51" t="s">
        <v>1231</v>
      </c>
      <c r="B542" s="51" t="s">
        <v>1230</v>
      </c>
      <c r="C542" s="61" t="s">
        <v>725</v>
      </c>
      <c r="D542" s="155">
        <f>48.919+0.88077</f>
        <v>49.799769999999995</v>
      </c>
      <c r="E542" s="155">
        <f>29.83861+19.08039</f>
        <v>48.918999999999997</v>
      </c>
      <c r="F542" s="155">
        <f>29.83861+19.08039</f>
        <v>48.918999999999997</v>
      </c>
      <c r="G542" s="61" t="s">
        <v>771</v>
      </c>
    </row>
    <row r="543" spans="1:7" s="1" customFormat="1" ht="47.25">
      <c r="A543" s="51" t="s">
        <v>1229</v>
      </c>
      <c r="B543" s="51" t="s">
        <v>1228</v>
      </c>
      <c r="C543" s="61" t="s">
        <v>725</v>
      </c>
      <c r="D543" s="155">
        <f>276.42906+4.47434+0.945+0.03517</f>
        <v>281.88356999999996</v>
      </c>
      <c r="E543" s="155">
        <v>276.39855999999997</v>
      </c>
      <c r="F543" s="155">
        <v>276.39855999999997</v>
      </c>
      <c r="G543" s="61" t="s">
        <v>1054</v>
      </c>
    </row>
    <row r="544" spans="1:7" s="1" customFormat="1" ht="47.25">
      <c r="A544" s="51" t="s">
        <v>1227</v>
      </c>
      <c r="B544" s="51" t="s">
        <v>1226</v>
      </c>
      <c r="C544" s="61" t="s">
        <v>725</v>
      </c>
      <c r="D544" s="155">
        <f>196.70822+0.945+3.1831</f>
        <v>200.83632</v>
      </c>
      <c r="E544" s="155">
        <f>172.67872-21.00905+11.31835+2.6555</f>
        <v>165.64352</v>
      </c>
      <c r="F544" s="155">
        <f>172.67872-21.00905+11.31835+2.6555</f>
        <v>165.64352</v>
      </c>
      <c r="G544" s="61" t="s">
        <v>790</v>
      </c>
    </row>
    <row r="545" spans="1:7" s="1" customFormat="1" ht="47.25">
      <c r="A545" s="51" t="s">
        <v>1225</v>
      </c>
      <c r="B545" s="51" t="s">
        <v>1224</v>
      </c>
      <c r="C545" s="61" t="s">
        <v>725</v>
      </c>
      <c r="D545" s="155">
        <f>46.65869+0.83862</f>
        <v>47.497309999999999</v>
      </c>
      <c r="E545" s="155">
        <f>29.0144-0.06903+17.71332</f>
        <v>46.658689999999993</v>
      </c>
      <c r="F545" s="155">
        <f>29.0144-0.06903+17.71332</f>
        <v>46.658689999999993</v>
      </c>
      <c r="G545" s="61" t="s">
        <v>771</v>
      </c>
    </row>
    <row r="546" spans="1:7" s="1" customFormat="1" ht="47.25">
      <c r="A546" s="51" t="s">
        <v>1223</v>
      </c>
      <c r="B546" s="51" t="s">
        <v>1222</v>
      </c>
      <c r="C546" s="61" t="s">
        <v>725</v>
      </c>
      <c r="D546" s="155">
        <f>89.61373+0.945+1.44914</f>
        <v>92.007869999999997</v>
      </c>
      <c r="E546" s="155">
        <f>62.72961-2.56366+19.93562</f>
        <v>80.101570000000009</v>
      </c>
      <c r="F546" s="155">
        <f>62.72961-2.56366+19.93562</f>
        <v>80.101570000000009</v>
      </c>
      <c r="G546" s="61" t="s">
        <v>790</v>
      </c>
    </row>
    <row r="547" spans="1:7" s="1" customFormat="1" ht="47.25">
      <c r="A547" s="51" t="s">
        <v>1221</v>
      </c>
      <c r="B547" s="51" t="s">
        <v>1220</v>
      </c>
      <c r="C547" s="61" t="s">
        <v>725</v>
      </c>
      <c r="D547" s="155">
        <f>93.12185+1.65609</f>
        <v>94.777940000000001</v>
      </c>
      <c r="E547" s="155">
        <f>58.345-10.4525+24.2926</f>
        <v>72.185100000000006</v>
      </c>
      <c r="F547" s="155">
        <f>58.345-10.4525+24.2926</f>
        <v>72.185100000000006</v>
      </c>
      <c r="G547" s="61" t="s">
        <v>771</v>
      </c>
    </row>
    <row r="548" spans="1:7" s="1" customFormat="1" ht="47.25">
      <c r="A548" s="51" t="s">
        <v>1219</v>
      </c>
      <c r="B548" s="51" t="s">
        <v>1218</v>
      </c>
      <c r="C548" s="61" t="s">
        <v>725</v>
      </c>
      <c r="D548" s="155">
        <f>6.2363+0.8848+115.82004</f>
        <v>122.94114</v>
      </c>
      <c r="E548" s="155">
        <f>4.40973+81.07403</f>
        <v>85.48375999999999</v>
      </c>
      <c r="F548" s="155">
        <f>4.40973+81.07403</f>
        <v>85.48375999999999</v>
      </c>
      <c r="G548" s="61" t="s">
        <v>1054</v>
      </c>
    </row>
    <row r="549" spans="1:7" s="1" customFormat="1" ht="47.25">
      <c r="A549" s="51" t="s">
        <v>1217</v>
      </c>
      <c r="B549" s="51" t="s">
        <v>1216</v>
      </c>
      <c r="C549" s="61" t="s">
        <v>725</v>
      </c>
      <c r="D549" s="155">
        <f>89.51796+1.134+1.46134</f>
        <v>92.11330000000001</v>
      </c>
      <c r="E549" s="155">
        <f>84.42479+5.09173+1.46121</f>
        <v>90.977729999999994</v>
      </c>
      <c r="F549" s="155">
        <f>84.42479+5.09173+1.46121</f>
        <v>90.977729999999994</v>
      </c>
      <c r="G549" s="61" t="s">
        <v>790</v>
      </c>
    </row>
    <row r="550" spans="1:7" s="1" customFormat="1" ht="47.25">
      <c r="A550" s="51" t="s">
        <v>1215</v>
      </c>
      <c r="B550" s="51" t="s">
        <v>1214</v>
      </c>
      <c r="C550" s="61" t="s">
        <v>725</v>
      </c>
      <c r="D550" s="155">
        <f>39.18383+0.70035</f>
        <v>39.884180000000001</v>
      </c>
      <c r="E550" s="155">
        <f>25.51824+13.66559</f>
        <v>39.18383</v>
      </c>
      <c r="F550" s="155">
        <f>25.51824+13.66559</f>
        <v>39.18383</v>
      </c>
      <c r="G550" s="61" t="s">
        <v>771</v>
      </c>
    </row>
    <row r="551" spans="1:7" s="1" customFormat="1" ht="47.25">
      <c r="A551" s="51" t="s">
        <v>1213</v>
      </c>
      <c r="B551" s="51" t="s">
        <v>1212</v>
      </c>
      <c r="C551" s="61" t="s">
        <v>725</v>
      </c>
      <c r="D551" s="155">
        <f>39.60735+0.70839</f>
        <v>40.315739999999998</v>
      </c>
      <c r="E551" s="155">
        <f>26.90273-8.58268+8.60331</f>
        <v>26.923359999999999</v>
      </c>
      <c r="F551" s="155">
        <f>26.90273-8.58268+8.60331</f>
        <v>26.923359999999999</v>
      </c>
      <c r="G551" s="61" t="s">
        <v>771</v>
      </c>
    </row>
    <row r="552" spans="1:7" s="1" customFormat="1" ht="47.25">
      <c r="A552" s="51" t="s">
        <v>1211</v>
      </c>
      <c r="B552" s="51" t="s">
        <v>1210</v>
      </c>
      <c r="C552" s="61" t="s">
        <v>725</v>
      </c>
      <c r="D552" s="148">
        <f>112.47085+6.90045-55.12285</f>
        <v>64.248450000000005</v>
      </c>
      <c r="E552" s="155">
        <v>57.347999999999999</v>
      </c>
      <c r="F552" s="155">
        <v>57.347999999999999</v>
      </c>
      <c r="G552" s="61" t="s">
        <v>1135</v>
      </c>
    </row>
    <row r="553" spans="1:7" s="1" customFormat="1" ht="47.25">
      <c r="A553" s="51" t="s">
        <v>1209</v>
      </c>
      <c r="B553" s="51" t="s">
        <v>1208</v>
      </c>
      <c r="C553" s="61" t="s">
        <v>725</v>
      </c>
      <c r="D553" s="148">
        <f>36.90962+0.65803-14.28284</f>
        <v>23.284809999999993</v>
      </c>
      <c r="E553" s="155">
        <v>22.62678</v>
      </c>
      <c r="F553" s="155">
        <v>22.62678</v>
      </c>
      <c r="G553" s="61" t="s">
        <v>1135</v>
      </c>
    </row>
    <row r="554" spans="1:7" s="1" customFormat="1" ht="47.25">
      <c r="A554" s="51" t="s">
        <v>1207</v>
      </c>
      <c r="B554" s="51" t="s">
        <v>1206</v>
      </c>
      <c r="C554" s="61" t="s">
        <v>725</v>
      </c>
      <c r="D554" s="148">
        <f>4.85792+89.96856+0.945</f>
        <v>95.771479999999997</v>
      </c>
      <c r="E554" s="155">
        <f>3.42348+62.97799</f>
        <v>66.401470000000003</v>
      </c>
      <c r="F554" s="155">
        <f>3.42348+62.97799</f>
        <v>66.401470000000003</v>
      </c>
      <c r="G554" s="61" t="s">
        <v>1054</v>
      </c>
    </row>
    <row r="555" spans="1:7" s="1" customFormat="1" ht="47.25">
      <c r="A555" s="51" t="s">
        <v>1205</v>
      </c>
      <c r="B555" s="51" t="s">
        <v>1204</v>
      </c>
      <c r="C555" s="61" t="s">
        <v>725</v>
      </c>
      <c r="D555" s="148">
        <f>206.0355+1.568+3.18407</f>
        <v>210.78757000000002</v>
      </c>
      <c r="E555" s="155">
        <f>144.12049-21.90878+56.43687</f>
        <v>178.64857999999998</v>
      </c>
      <c r="F555" s="155">
        <f>144.12049-21.90878+56.43687</f>
        <v>178.64857999999998</v>
      </c>
      <c r="G555" s="61" t="s">
        <v>790</v>
      </c>
    </row>
    <row r="556" spans="1:7" s="1" customFormat="1" ht="47.25">
      <c r="A556" s="51" t="s">
        <v>1203</v>
      </c>
      <c r="B556" s="51" t="s">
        <v>1202</v>
      </c>
      <c r="C556" s="61" t="s">
        <v>725</v>
      </c>
      <c r="D556" s="148">
        <f>310.48013+5.03363</f>
        <v>315.51375999999999</v>
      </c>
      <c r="E556" s="155">
        <f>277.6042+5.03363+32.87324</f>
        <v>315.51107000000002</v>
      </c>
      <c r="F556" s="155">
        <f>277.6042+5.03363+32.87324</f>
        <v>315.51107000000002</v>
      </c>
      <c r="G556" s="61" t="s">
        <v>766</v>
      </c>
    </row>
    <row r="557" spans="1:7" s="1" customFormat="1" ht="47.25">
      <c r="A557" s="51" t="s">
        <v>1201</v>
      </c>
      <c r="B557" s="51" t="s">
        <v>1200</v>
      </c>
      <c r="C557" s="61" t="s">
        <v>725</v>
      </c>
      <c r="D557" s="148">
        <f>115.8112+0.945+1.85618</f>
        <v>118.61237999999999</v>
      </c>
      <c r="E557" s="155">
        <f>66.17015-25.63641+21.03729</f>
        <v>61.571030000000007</v>
      </c>
      <c r="F557" s="155">
        <f>66.17015-25.63641+21.03729</f>
        <v>61.571030000000007</v>
      </c>
      <c r="G557" s="61" t="s">
        <v>790</v>
      </c>
    </row>
    <row r="558" spans="1:7" s="1" customFormat="1" ht="47.25">
      <c r="A558" s="51" t="s">
        <v>1199</v>
      </c>
      <c r="B558" s="51" t="s">
        <v>1198</v>
      </c>
      <c r="C558" s="61" t="s">
        <v>725</v>
      </c>
      <c r="D558" s="148">
        <f>57.37076+1.01849</f>
        <v>58.389249999999997</v>
      </c>
      <c r="E558" s="155">
        <f>36.3889-7.58304+12.31592</f>
        <v>41.121780000000001</v>
      </c>
      <c r="F558" s="155">
        <f>36.3889-7.58304+12.31592</f>
        <v>41.121780000000001</v>
      </c>
      <c r="G558" s="61" t="s">
        <v>771</v>
      </c>
    </row>
    <row r="559" spans="1:7" s="1" customFormat="1" ht="47.25">
      <c r="A559" s="51" t="s">
        <v>1197</v>
      </c>
      <c r="B559" s="51" t="s">
        <v>1196</v>
      </c>
      <c r="C559" s="61" t="s">
        <v>725</v>
      </c>
      <c r="D559" s="148">
        <f>308.24813+5.02585+0.00028</f>
        <v>313.27425999999997</v>
      </c>
      <c r="E559" s="155">
        <f>288.19829+20.03055</f>
        <v>308.22883999999999</v>
      </c>
      <c r="F559" s="155">
        <f>288.19829+20.03055</f>
        <v>308.22883999999999</v>
      </c>
      <c r="G559" s="61" t="s">
        <v>766</v>
      </c>
    </row>
    <row r="560" spans="1:7" s="1" customFormat="1" ht="47.25">
      <c r="A560" s="51" t="s">
        <v>1195</v>
      </c>
      <c r="B560" s="51" t="s">
        <v>1194</v>
      </c>
      <c r="C560" s="61" t="s">
        <v>725</v>
      </c>
      <c r="D560" s="148">
        <f>205.9204+3.35596+0.00533</f>
        <v>209.28169</v>
      </c>
      <c r="E560" s="155">
        <f>191.84618+14.0605</f>
        <v>205.90667999999999</v>
      </c>
      <c r="F560" s="155">
        <f>191.84618+14.0605</f>
        <v>205.90667999999999</v>
      </c>
      <c r="G560" s="61" t="s">
        <v>766</v>
      </c>
    </row>
    <row r="561" spans="1:7" s="1" customFormat="1" ht="47.25">
      <c r="A561" s="51" t="s">
        <v>1193</v>
      </c>
      <c r="B561" s="51" t="s">
        <v>1192</v>
      </c>
      <c r="C561" s="61" t="s">
        <v>725</v>
      </c>
      <c r="D561" s="148">
        <f>236.43955+3.8439</f>
        <v>240.28344999999999</v>
      </c>
      <c r="E561" s="155">
        <f>216.12967-3.72344+20.01633+3.7784</f>
        <v>236.20096000000001</v>
      </c>
      <c r="F561" s="155">
        <f>216.12967-3.72344+20.01633+3.7784</f>
        <v>236.20096000000001</v>
      </c>
      <c r="G561" s="61" t="s">
        <v>766</v>
      </c>
    </row>
    <row r="562" spans="1:7" s="1" customFormat="1" ht="47.25">
      <c r="A562" s="51" t="s">
        <v>1191</v>
      </c>
      <c r="B562" s="51" t="s">
        <v>1190</v>
      </c>
      <c r="C562" s="61" t="s">
        <v>725</v>
      </c>
      <c r="D562" s="148">
        <f>674.28967+10.93165+0.00483</f>
        <v>685.22614999999996</v>
      </c>
      <c r="E562" s="148">
        <f>602.79113+71.42541</f>
        <v>674.2165399999999</v>
      </c>
      <c r="F562" s="155">
        <f>602.79113+71.42541</f>
        <v>674.2165399999999</v>
      </c>
      <c r="G562" s="61" t="s">
        <v>766</v>
      </c>
    </row>
    <row r="563" spans="1:7" s="1" customFormat="1" ht="47.25">
      <c r="A563" s="51" t="s">
        <v>1189</v>
      </c>
      <c r="B563" s="51" t="s">
        <v>1188</v>
      </c>
      <c r="C563" s="61" t="s">
        <v>725</v>
      </c>
      <c r="D563" s="148">
        <f>147.5255+2.39404+0.00891</f>
        <v>149.92844999999997</v>
      </c>
      <c r="E563" s="148">
        <f>132.47412+15.03724</f>
        <v>147.51136</v>
      </c>
      <c r="F563" s="155">
        <f>132.47412+15.03724</f>
        <v>147.51136</v>
      </c>
      <c r="G563" s="61" t="s">
        <v>766</v>
      </c>
    </row>
    <row r="564" spans="1:7" s="1" customFormat="1" ht="47.25">
      <c r="A564" s="51" t="s">
        <v>1187</v>
      </c>
      <c r="B564" s="51" t="s">
        <v>1186</v>
      </c>
      <c r="C564" s="61" t="s">
        <v>725</v>
      </c>
      <c r="D564" s="148">
        <f>213.36164+3.4884+3.79348+0.05345</f>
        <v>220.69696999999999</v>
      </c>
      <c r="E564" s="155">
        <f>203.65876+13.49636</f>
        <v>217.15512000000001</v>
      </c>
      <c r="F564" s="155">
        <f>203.65876+13.49636</f>
        <v>217.15512000000001</v>
      </c>
      <c r="G564" s="61" t="s">
        <v>766</v>
      </c>
    </row>
    <row r="565" spans="1:7" s="1" customFormat="1" ht="47.25">
      <c r="A565" s="51" t="s">
        <v>1185</v>
      </c>
      <c r="B565" s="51" t="s">
        <v>1184</v>
      </c>
      <c r="C565" s="61" t="s">
        <v>725</v>
      </c>
      <c r="D565" s="148">
        <f>142.67707+61.14732+2.3201+0.00098</f>
        <v>206.14546999999999</v>
      </c>
      <c r="E565" s="155">
        <f>130.69868+11.92064</f>
        <v>142.61931999999999</v>
      </c>
      <c r="F565" s="155">
        <f>130.69868+11.92064</f>
        <v>142.61931999999999</v>
      </c>
      <c r="G565" s="61" t="s">
        <v>766</v>
      </c>
    </row>
    <row r="566" spans="1:7" s="1" customFormat="1" ht="47.25">
      <c r="A566" s="51" t="s">
        <v>1183</v>
      </c>
      <c r="B566" s="51" t="s">
        <v>1182</v>
      </c>
      <c r="C566" s="61" t="s">
        <v>725</v>
      </c>
      <c r="D566" s="148">
        <f>85.23295+1.54105</f>
        <v>86.774000000000001</v>
      </c>
      <c r="E566" s="155">
        <f>59.66306-3.98551+24.21087</f>
        <v>79.888419999999996</v>
      </c>
      <c r="F566" s="155">
        <f>59.66306-3.98551+24.21087</f>
        <v>79.888419999999996</v>
      </c>
      <c r="G566" s="61" t="s">
        <v>1181</v>
      </c>
    </row>
    <row r="567" spans="1:7" s="1" customFormat="1" ht="47.25">
      <c r="A567" s="51" t="s">
        <v>1180</v>
      </c>
      <c r="B567" s="51" t="s">
        <v>1179</v>
      </c>
      <c r="C567" s="61" t="s">
        <v>725</v>
      </c>
      <c r="D567" s="148">
        <f>396.32894+6.46578</f>
        <v>402.79471999999998</v>
      </c>
      <c r="E567" s="155">
        <f>372.24768+24.07951+6.46578</f>
        <v>402.79296999999997</v>
      </c>
      <c r="F567" s="155">
        <f>372.24768+24.07951+6.46578</f>
        <v>402.79296999999997</v>
      </c>
      <c r="G567" s="61" t="s">
        <v>766</v>
      </c>
    </row>
    <row r="568" spans="1:7" s="1" customFormat="1" ht="47.25">
      <c r="A568" s="51" t="s">
        <v>1178</v>
      </c>
      <c r="B568" s="51" t="s">
        <v>1177</v>
      </c>
      <c r="C568" s="61" t="s">
        <v>725</v>
      </c>
      <c r="D568" s="148">
        <f>3.92427+73.24364+0.945</f>
        <v>78.112909999999999</v>
      </c>
      <c r="E568" s="155">
        <f>2.77341+51.27055</f>
        <v>54.043959999999998</v>
      </c>
      <c r="F568" s="155">
        <f>2.77341+51.27055</f>
        <v>54.043959999999998</v>
      </c>
      <c r="G568" s="61" t="s">
        <v>1054</v>
      </c>
    </row>
    <row r="569" spans="1:7" s="1" customFormat="1" ht="47.25">
      <c r="A569" s="51" t="s">
        <v>1176</v>
      </c>
      <c r="B569" s="51" t="s">
        <v>1175</v>
      </c>
      <c r="C569" s="61" t="s">
        <v>725</v>
      </c>
      <c r="D569" s="148">
        <f>301.51169+1.176+4.87101+0.04735</f>
        <v>307.60604999999998</v>
      </c>
      <c r="E569" s="155">
        <f>261.49878+40.01288</f>
        <v>301.51166000000001</v>
      </c>
      <c r="F569" s="155">
        <f>261.49878+40.01288</f>
        <v>301.51166000000001</v>
      </c>
      <c r="G569" s="61" t="s">
        <v>790</v>
      </c>
    </row>
    <row r="570" spans="1:7" s="1" customFormat="1" ht="47.25">
      <c r="A570" s="51" t="s">
        <v>1174</v>
      </c>
      <c r="B570" s="51" t="s">
        <v>1173</v>
      </c>
      <c r="C570" s="61" t="s">
        <v>725</v>
      </c>
      <c r="D570" s="148">
        <f>208.90423+3.40934</f>
        <v>212.31357</v>
      </c>
      <c r="E570" s="155">
        <f>196.99112+11.90884+3.40934</f>
        <v>212.30929999999998</v>
      </c>
      <c r="F570" s="155">
        <f>196.99112+11.90884+3.40934</f>
        <v>212.30929999999998</v>
      </c>
      <c r="G570" s="61" t="s">
        <v>790</v>
      </c>
    </row>
    <row r="571" spans="1:7" s="1" customFormat="1" ht="47.25">
      <c r="A571" s="51" t="s">
        <v>1172</v>
      </c>
      <c r="B571" s="51" t="s">
        <v>1171</v>
      </c>
      <c r="C571" s="61" t="s">
        <v>725</v>
      </c>
      <c r="D571" s="148">
        <f>82.9593+1.50571</f>
        <v>84.465009999999992</v>
      </c>
      <c r="E571" s="155">
        <f>58.07151-9.63567+19.64182</f>
        <v>68.077660000000009</v>
      </c>
      <c r="F571" s="155">
        <f>58.07151-9.63567+19.64182</f>
        <v>68.077660000000009</v>
      </c>
      <c r="G571" s="61" t="s">
        <v>771</v>
      </c>
    </row>
    <row r="572" spans="1:7" s="1" customFormat="1" ht="47.25">
      <c r="A572" s="51" t="s">
        <v>1170</v>
      </c>
      <c r="B572" s="51" t="s">
        <v>1169</v>
      </c>
      <c r="C572" s="61" t="s">
        <v>725</v>
      </c>
      <c r="D572" s="148">
        <f>44.476+518.54978</f>
        <v>563.02578000000005</v>
      </c>
      <c r="E572" s="155">
        <f>44.476+467.89134</f>
        <v>512.36734000000001</v>
      </c>
      <c r="F572" s="155">
        <f>44.476+467.89134</f>
        <v>512.36734000000001</v>
      </c>
      <c r="G572" s="61" t="s">
        <v>889</v>
      </c>
    </row>
    <row r="573" spans="1:7" s="1" customFormat="1" ht="47.25">
      <c r="A573" s="51" t="s">
        <v>1168</v>
      </c>
      <c r="B573" s="51" t="s">
        <v>1167</v>
      </c>
      <c r="C573" s="61" t="s">
        <v>725</v>
      </c>
      <c r="D573" s="148">
        <f>31.613+352.48601</f>
        <v>384.09901000000002</v>
      </c>
      <c r="E573" s="155">
        <f>31.613+304.55192</f>
        <v>336.16492</v>
      </c>
      <c r="F573" s="155">
        <f>31.613+304.55192</f>
        <v>336.16492</v>
      </c>
      <c r="G573" s="61" t="s">
        <v>889</v>
      </c>
    </row>
    <row r="574" spans="1:7" s="1" customFormat="1" ht="47.25">
      <c r="A574" s="51" t="s">
        <v>1166</v>
      </c>
      <c r="B574" s="51" t="s">
        <v>1165</v>
      </c>
      <c r="C574" s="61" t="s">
        <v>725</v>
      </c>
      <c r="D574" s="148">
        <f>20.371+222.28885</f>
        <v>242.65985000000001</v>
      </c>
      <c r="E574" s="155">
        <f>20.371+210.37574</f>
        <v>230.74674000000002</v>
      </c>
      <c r="F574" s="155">
        <f>20.371+210.37574</f>
        <v>230.74674000000002</v>
      </c>
      <c r="G574" s="61" t="s">
        <v>889</v>
      </c>
    </row>
    <row r="575" spans="1:7" s="1" customFormat="1" ht="47.25">
      <c r="A575" s="51" t="s">
        <v>1164</v>
      </c>
      <c r="B575" s="51" t="s">
        <v>1163</v>
      </c>
      <c r="C575" s="61" t="s">
        <v>725</v>
      </c>
      <c r="D575" s="148">
        <f>20.451+223.20883</f>
        <v>243.65983</v>
      </c>
      <c r="E575" s="155">
        <f>20.451+210.83122</f>
        <v>231.28222</v>
      </c>
      <c r="F575" s="155">
        <f>20.451+210.83122</f>
        <v>231.28222</v>
      </c>
      <c r="G575" s="61" t="s">
        <v>889</v>
      </c>
    </row>
    <row r="576" spans="1:7" s="1" customFormat="1" ht="47.25">
      <c r="A576" s="51" t="s">
        <v>1162</v>
      </c>
      <c r="B576" s="51" t="s">
        <v>1161</v>
      </c>
      <c r="C576" s="61" t="s">
        <v>725</v>
      </c>
      <c r="D576" s="148">
        <f>22.147+245.03417</f>
        <v>267.18117000000001</v>
      </c>
      <c r="E576" s="155">
        <f>22.147+217.21794</f>
        <v>239.36493999999999</v>
      </c>
      <c r="F576" s="155">
        <f>22.147+217.21794</f>
        <v>239.36493999999999</v>
      </c>
      <c r="G576" s="61" t="s">
        <v>889</v>
      </c>
    </row>
    <row r="577" spans="1:7" s="1" customFormat="1" ht="47.25">
      <c r="A577" s="51" t="s">
        <v>1160</v>
      </c>
      <c r="B577" s="51" t="s">
        <v>1159</v>
      </c>
      <c r="C577" s="61" t="s">
        <v>725</v>
      </c>
      <c r="D577" s="148">
        <f>54.395+671.72398</f>
        <v>726.11897999999997</v>
      </c>
      <c r="E577" s="155">
        <f>54.395+600.53377</f>
        <v>654.92876999999999</v>
      </c>
      <c r="F577" s="155">
        <f>54.395+600.53377</f>
        <v>654.92876999999999</v>
      </c>
      <c r="G577" s="61" t="s">
        <v>889</v>
      </c>
    </row>
    <row r="578" spans="1:7" s="1" customFormat="1" ht="47.25">
      <c r="A578" s="51" t="s">
        <v>1158</v>
      </c>
      <c r="B578" s="51" t="s">
        <v>1157</v>
      </c>
      <c r="C578" s="61" t="s">
        <v>725</v>
      </c>
      <c r="D578" s="148">
        <f>32.677+364.53358</f>
        <v>397.21057999999999</v>
      </c>
      <c r="E578" s="155">
        <f>32.677+328.722</f>
        <v>361.399</v>
      </c>
      <c r="F578" s="155">
        <f>32.677+328.722</f>
        <v>361.399</v>
      </c>
      <c r="G578" s="61" t="s">
        <v>889</v>
      </c>
    </row>
    <row r="579" spans="1:7" s="1" customFormat="1" ht="47.25">
      <c r="A579" s="51" t="s">
        <v>1156</v>
      </c>
      <c r="B579" s="51" t="s">
        <v>1155</v>
      </c>
      <c r="C579" s="61" t="s">
        <v>725</v>
      </c>
      <c r="D579" s="148">
        <f>32.605+358.42838</f>
        <v>391.03338000000002</v>
      </c>
      <c r="E579" s="148">
        <f>32.605+321.73852</f>
        <v>354.34352000000001</v>
      </c>
      <c r="F579" s="148">
        <f>32.605+321.73852</f>
        <v>354.34352000000001</v>
      </c>
      <c r="G579" s="61" t="s">
        <v>889</v>
      </c>
    </row>
    <row r="580" spans="1:7" s="1" customFormat="1" ht="47.25">
      <c r="A580" s="51" t="s">
        <v>1154</v>
      </c>
      <c r="B580" s="51" t="s">
        <v>1153</v>
      </c>
      <c r="C580" s="61" t="s">
        <v>725</v>
      </c>
      <c r="D580" s="148">
        <f>38.531+643.27831+7.34776</f>
        <v>689.15706999999998</v>
      </c>
      <c r="E580" s="148">
        <f>38.531+450.29482</f>
        <v>488.82582000000002</v>
      </c>
      <c r="F580" s="148">
        <f>38.531+450.29482</f>
        <v>488.82582000000002</v>
      </c>
      <c r="G580" s="61" t="s">
        <v>889</v>
      </c>
    </row>
    <row r="581" spans="1:7" s="1" customFormat="1" ht="47.25">
      <c r="A581" s="51" t="s">
        <v>1152</v>
      </c>
      <c r="B581" s="51" t="s">
        <v>1151</v>
      </c>
      <c r="C581" s="61" t="s">
        <v>725</v>
      </c>
      <c r="D581" s="148">
        <f>321.80387+28.939</f>
        <v>350.74287000000004</v>
      </c>
      <c r="E581" s="148">
        <f>28.939+283.33506</f>
        <v>312.27406000000002</v>
      </c>
      <c r="F581" s="148">
        <f>28.939+283.33506</f>
        <v>312.27406000000002</v>
      </c>
      <c r="G581" s="61" t="s">
        <v>889</v>
      </c>
    </row>
    <row r="582" spans="1:7" s="1" customFormat="1" ht="47.25">
      <c r="A582" s="51" t="s">
        <v>1150</v>
      </c>
      <c r="B582" s="51" t="s">
        <v>1149</v>
      </c>
      <c r="C582" s="61" t="s">
        <v>725</v>
      </c>
      <c r="D582" s="148">
        <f>31.613+503.55122+5.7195</f>
        <v>540.88372000000004</v>
      </c>
      <c r="E582" s="148">
        <f>31.613+352.48585</f>
        <v>384.09885000000003</v>
      </c>
      <c r="F582" s="148">
        <f>31.613+352.48585</f>
        <v>384.09885000000003</v>
      </c>
      <c r="G582" s="61" t="s">
        <v>889</v>
      </c>
    </row>
    <row r="583" spans="1:7" s="1" customFormat="1" ht="47.25">
      <c r="A583" s="51" t="s">
        <v>1148</v>
      </c>
      <c r="B583" s="51" t="s">
        <v>1147</v>
      </c>
      <c r="C583" s="61" t="s">
        <v>725</v>
      </c>
      <c r="D583" s="148">
        <f>55.8+693.46187</f>
        <v>749.26186999999993</v>
      </c>
      <c r="E583" s="148">
        <f>55.8+620.99138</f>
        <v>676.79138</v>
      </c>
      <c r="F583" s="148">
        <f>55.8+620.99138</f>
        <v>676.79138</v>
      </c>
      <c r="G583" s="61" t="s">
        <v>889</v>
      </c>
    </row>
    <row r="584" spans="1:7" s="1" customFormat="1" ht="47.25">
      <c r="A584" s="51" t="s">
        <v>1146</v>
      </c>
      <c r="B584" s="51" t="s">
        <v>1145</v>
      </c>
      <c r="C584" s="61" t="s">
        <v>725</v>
      </c>
      <c r="D584" s="148">
        <f>13.859+181.24406</f>
        <v>195.10306</v>
      </c>
      <c r="E584" s="148">
        <f>13.859+156.82477</f>
        <v>170.68377000000001</v>
      </c>
      <c r="F584" s="148">
        <f>13.859+156.82477</f>
        <v>170.68377000000001</v>
      </c>
      <c r="G584" s="61" t="s">
        <v>889</v>
      </c>
    </row>
    <row r="585" spans="1:7" s="1" customFormat="1" ht="47.25">
      <c r="A585" s="51" t="s">
        <v>1144</v>
      </c>
      <c r="B585" s="51" t="s">
        <v>1143</v>
      </c>
      <c r="C585" s="61" t="s">
        <v>725</v>
      </c>
      <c r="D585" s="148">
        <f>38.505+451.72864</f>
        <v>490.23363999999998</v>
      </c>
      <c r="E585" s="155">
        <f>38.505+418.76378</f>
        <v>457.26877999999999</v>
      </c>
      <c r="F585" s="155">
        <f>38.505+418.76378</f>
        <v>457.26877999999999</v>
      </c>
      <c r="G585" s="61" t="s">
        <v>889</v>
      </c>
    </row>
    <row r="586" spans="1:7" s="1" customFormat="1" ht="47.25">
      <c r="A586" s="51" t="s">
        <v>1142</v>
      </c>
      <c r="B586" s="51" t="s">
        <v>1141</v>
      </c>
      <c r="C586" s="61" t="s">
        <v>725</v>
      </c>
      <c r="D586" s="148">
        <f>12.832+159.47812+2.56754</f>
        <v>174.87765999999999</v>
      </c>
      <c r="E586" s="155">
        <f>12.832+133.317</f>
        <v>146.149</v>
      </c>
      <c r="F586" s="155">
        <f>12.832+133.317</f>
        <v>146.149</v>
      </c>
      <c r="G586" s="61" t="s">
        <v>889</v>
      </c>
    </row>
    <row r="587" spans="1:7" s="1" customFormat="1" ht="47.25">
      <c r="A587" s="51" t="s">
        <v>1140</v>
      </c>
      <c r="B587" s="51" t="s">
        <v>291</v>
      </c>
      <c r="C587" s="61" t="s">
        <v>725</v>
      </c>
      <c r="D587" s="148">
        <f>12.778+160.83824+2.58722</f>
        <v>176.20346000000001</v>
      </c>
      <c r="E587" s="155">
        <f>12.778+133.43884</f>
        <v>146.21683999999999</v>
      </c>
      <c r="F587" s="155">
        <f>12.778+133.43884</f>
        <v>146.21683999999999</v>
      </c>
      <c r="G587" s="61" t="s">
        <v>889</v>
      </c>
    </row>
    <row r="588" spans="1:7" s="1" customFormat="1" ht="47.25">
      <c r="A588" s="51" t="s">
        <v>1139</v>
      </c>
      <c r="B588" s="51" t="s">
        <v>1138</v>
      </c>
      <c r="C588" s="61" t="s">
        <v>725</v>
      </c>
      <c r="D588" s="148">
        <f>27.41+304.51151+4.92288</f>
        <v>336.84439000000003</v>
      </c>
      <c r="E588" s="155">
        <f>27.41+266.25178-12.90621+24.4459</f>
        <v>305.20147000000003</v>
      </c>
      <c r="F588" s="155">
        <f>27.41+266.25178-12.90621+24.4459</f>
        <v>305.20147000000003</v>
      </c>
      <c r="G588" s="61" t="s">
        <v>889</v>
      </c>
    </row>
    <row r="589" spans="1:7" s="1" customFormat="1" ht="47.25">
      <c r="A589" s="51" t="s">
        <v>1137</v>
      </c>
      <c r="B589" s="51" t="s">
        <v>1136</v>
      </c>
      <c r="C589" s="61" t="s">
        <v>725</v>
      </c>
      <c r="D589" s="148">
        <f>121.18629+7.41018-48.51494</f>
        <v>80.081530000000015</v>
      </c>
      <c r="E589" s="155">
        <v>72.671350000000004</v>
      </c>
      <c r="F589" s="155">
        <v>72.671350000000004</v>
      </c>
      <c r="G589" s="61" t="s">
        <v>1135</v>
      </c>
    </row>
    <row r="590" spans="1:7" s="1" customFormat="1" ht="47.25">
      <c r="A590" s="51" t="s">
        <v>1134</v>
      </c>
      <c r="B590" s="51" t="s">
        <v>1133</v>
      </c>
      <c r="C590" s="61" t="s">
        <v>725</v>
      </c>
      <c r="D590" s="148">
        <f>117.18677+7.18025-117.07193</f>
        <v>7.2950900000000019</v>
      </c>
      <c r="E590" s="155">
        <v>0.11484</v>
      </c>
      <c r="F590" s="155">
        <v>0.11484</v>
      </c>
      <c r="G590" s="61" t="s">
        <v>771</v>
      </c>
    </row>
    <row r="591" spans="1:7" s="1" customFormat="1" ht="47.25">
      <c r="A591" s="51" t="s">
        <v>1132</v>
      </c>
      <c r="B591" s="51" t="s">
        <v>1131</v>
      </c>
      <c r="C591" s="61" t="s">
        <v>725</v>
      </c>
      <c r="D591" s="148">
        <f>125.69179+0.65941-11.58481</f>
        <v>114.76638999999999</v>
      </c>
      <c r="E591" s="155">
        <v>114.10697999999999</v>
      </c>
      <c r="F591" s="155">
        <v>114.10697999999999</v>
      </c>
      <c r="G591" s="61" t="s">
        <v>771</v>
      </c>
    </row>
    <row r="592" spans="1:7" s="1" customFormat="1" ht="47.25">
      <c r="A592" s="115" t="s">
        <v>1130</v>
      </c>
      <c r="B592" s="115" t="s">
        <v>1129</v>
      </c>
      <c r="C592" s="150" t="s">
        <v>725</v>
      </c>
      <c r="D592" s="154">
        <v>2.2000000000000001E-4</v>
      </c>
      <c r="E592" s="156">
        <v>0</v>
      </c>
      <c r="F592" s="156">
        <v>0</v>
      </c>
      <c r="G592" s="150"/>
    </row>
    <row r="593" spans="1:7" s="1" customFormat="1" ht="47.25">
      <c r="A593" s="51" t="s">
        <v>1128</v>
      </c>
      <c r="B593" s="51" t="s">
        <v>1127</v>
      </c>
      <c r="C593" s="61" t="s">
        <v>725</v>
      </c>
      <c r="D593" s="148">
        <f>34.24211+403.34506+6.54721</f>
        <v>444.13438000000002</v>
      </c>
      <c r="E593" s="148">
        <f>34.24211+364.17737</f>
        <v>398.41948000000002</v>
      </c>
      <c r="F593" s="148">
        <f>34.24211+364.17737</f>
        <v>398.41948000000002</v>
      </c>
      <c r="G593" s="61" t="s">
        <v>724</v>
      </c>
    </row>
    <row r="594" spans="1:7" s="1" customFormat="1" ht="47.25">
      <c r="A594" s="51" t="s">
        <v>1126</v>
      </c>
      <c r="B594" s="51" t="s">
        <v>1125</v>
      </c>
      <c r="C594" s="61" t="s">
        <v>725</v>
      </c>
      <c r="D594" s="148">
        <f>60.07579+330.85172+5.35809</f>
        <v>396.28559999999999</v>
      </c>
      <c r="E594" s="148">
        <f>60.07579+293.29816</f>
        <v>353.37394999999998</v>
      </c>
      <c r="F594" s="148">
        <f>60.07579+293.29816</f>
        <v>353.37394999999998</v>
      </c>
      <c r="G594" s="61" t="s">
        <v>724</v>
      </c>
    </row>
    <row r="595" spans="1:7" s="1" customFormat="1" ht="47.25">
      <c r="A595" s="51" t="s">
        <v>1124</v>
      </c>
      <c r="B595" s="51" t="s">
        <v>1123</v>
      </c>
      <c r="C595" s="61" t="s">
        <v>725</v>
      </c>
      <c r="D595" s="148">
        <f>23.23263+204.50371+3.33247</f>
        <v>231.06881000000001</v>
      </c>
      <c r="E595" s="148">
        <f>23.23263+190.42312</f>
        <v>213.65575000000001</v>
      </c>
      <c r="F595" s="148">
        <f>23.23263+190.42312</f>
        <v>213.65575000000001</v>
      </c>
      <c r="G595" s="61" t="s">
        <v>724</v>
      </c>
    </row>
    <row r="596" spans="1:7" s="1" customFormat="1" ht="47.25">
      <c r="A596" s="51" t="s">
        <v>1122</v>
      </c>
      <c r="B596" s="51" t="s">
        <v>1121</v>
      </c>
      <c r="C596" s="61" t="s">
        <v>725</v>
      </c>
      <c r="D596" s="148">
        <f>205.78102+26.93474+3.35146</f>
        <v>236.06722000000002</v>
      </c>
      <c r="E596" s="148">
        <f>26.93474+190.74528</f>
        <v>217.68002000000001</v>
      </c>
      <c r="F596" s="148">
        <f>26.93474+190.74528</f>
        <v>217.68002000000001</v>
      </c>
      <c r="G596" s="61" t="s">
        <v>724</v>
      </c>
    </row>
    <row r="597" spans="1:7" s="1" customFormat="1" ht="47.25">
      <c r="A597" s="51" t="s">
        <v>1120</v>
      </c>
      <c r="B597" s="51" t="s">
        <v>1119</v>
      </c>
      <c r="C597" s="61" t="s">
        <v>725</v>
      </c>
      <c r="D597" s="148">
        <f>25.80737+269.12257+4.38766</f>
        <v>299.31759999999997</v>
      </c>
      <c r="E597" s="148">
        <f>25.80737+251.54374</f>
        <v>277.35111000000001</v>
      </c>
      <c r="F597" s="148">
        <f>25.80737+251.54374</f>
        <v>277.35111000000001</v>
      </c>
      <c r="G597" s="61" t="s">
        <v>724</v>
      </c>
    </row>
    <row r="598" spans="1:7" s="1" customFormat="1" ht="47.25">
      <c r="A598" s="51" t="s">
        <v>1118</v>
      </c>
      <c r="B598" s="51" t="s">
        <v>1117</v>
      </c>
      <c r="C598" s="61" t="s">
        <v>725</v>
      </c>
      <c r="D598" s="148">
        <f>23.52316+286.39745+4.68181</f>
        <v>314.60242</v>
      </c>
      <c r="E598" s="148">
        <f>23.52316+273.49898</f>
        <v>297.02214000000004</v>
      </c>
      <c r="F598" s="148">
        <f>23.52316+273.49898</f>
        <v>297.02214000000004</v>
      </c>
      <c r="G598" s="61" t="s">
        <v>724</v>
      </c>
    </row>
    <row r="599" spans="1:7" s="1" customFormat="1" ht="47.25">
      <c r="A599" s="51" t="s">
        <v>1116</v>
      </c>
      <c r="B599" s="51" t="s">
        <v>1115</v>
      </c>
      <c r="C599" s="61" t="s">
        <v>725</v>
      </c>
      <c r="D599" s="148">
        <f>22.03158+440.869+7.18884</f>
        <v>470.08942000000008</v>
      </c>
      <c r="E599" s="148">
        <f>22.03158+412.5791</f>
        <v>434.61068</v>
      </c>
      <c r="F599" s="148">
        <f>22.03158+412.5791</f>
        <v>434.61068</v>
      </c>
      <c r="G599" s="61" t="s">
        <v>724</v>
      </c>
    </row>
    <row r="600" spans="1:7" s="1" customFormat="1" ht="47.25">
      <c r="A600" s="51" t="s">
        <v>1114</v>
      </c>
      <c r="B600" s="51" t="s">
        <v>1113</v>
      </c>
      <c r="C600" s="61" t="s">
        <v>725</v>
      </c>
      <c r="D600" s="148">
        <f>12.31263+77.63158+1.26589</f>
        <v>91.210099999999997</v>
      </c>
      <c r="E600" s="148">
        <f>12.31263+72.68778</f>
        <v>85.000410000000002</v>
      </c>
      <c r="F600" s="148">
        <f>12.31263+72.68778</f>
        <v>85.000410000000002</v>
      </c>
      <c r="G600" s="61" t="s">
        <v>724</v>
      </c>
    </row>
    <row r="601" spans="1:7" s="1" customFormat="1" ht="47.25">
      <c r="A601" s="51" t="s">
        <v>1112</v>
      </c>
      <c r="B601" s="51" t="s">
        <v>1111</v>
      </c>
      <c r="C601" s="61" t="s">
        <v>725</v>
      </c>
      <c r="D601" s="148">
        <f>21.02316+230.20756+3.75542</f>
        <v>254.98613999999998</v>
      </c>
      <c r="E601" s="148">
        <f>21.02316+216.29111</f>
        <v>237.31426999999999</v>
      </c>
      <c r="F601" s="148">
        <f>21.02316+216.29111</f>
        <v>237.31426999999999</v>
      </c>
      <c r="G601" s="61" t="s">
        <v>724</v>
      </c>
    </row>
    <row r="602" spans="1:7" s="1" customFormat="1" ht="47.25">
      <c r="A602" s="51" t="s">
        <v>1110</v>
      </c>
      <c r="B602" s="51" t="s">
        <v>1109</v>
      </c>
      <c r="C602" s="61" t="s">
        <v>725</v>
      </c>
      <c r="D602" s="148">
        <f>27.51263+216.07076+3.52072</f>
        <v>247.10411000000002</v>
      </c>
      <c r="E602" s="148">
        <f>27.51263+201.07312</f>
        <v>228.58574999999999</v>
      </c>
      <c r="F602" s="148">
        <f>27.51263+201.07312</f>
        <v>228.58574999999999</v>
      </c>
      <c r="G602" s="61" t="s">
        <v>724</v>
      </c>
    </row>
    <row r="603" spans="1:7" s="1" customFormat="1" ht="47.25">
      <c r="A603" s="51" t="s">
        <v>1108</v>
      </c>
      <c r="B603" s="51" t="s">
        <v>1107</v>
      </c>
      <c r="C603" s="61" t="s">
        <v>725</v>
      </c>
      <c r="D603" s="148">
        <f>23.52316+143.80854+2.33928</f>
        <v>169.67097999999999</v>
      </c>
      <c r="E603" s="148">
        <f>23.52316+132.1203</f>
        <v>155.64345999999998</v>
      </c>
      <c r="F603" s="148">
        <f>23.52316+132.1203</f>
        <v>155.64345999999998</v>
      </c>
      <c r="G603" s="61" t="s">
        <v>724</v>
      </c>
    </row>
    <row r="604" spans="1:7" s="1" customFormat="1" ht="47.25">
      <c r="A604" s="51" t="s">
        <v>1106</v>
      </c>
      <c r="B604" s="51" t="s">
        <v>1105</v>
      </c>
      <c r="C604" s="61" t="s">
        <v>725</v>
      </c>
      <c r="D604" s="148">
        <f>40.50211+297.77602+4.85537</f>
        <v>343.13350000000003</v>
      </c>
      <c r="E604" s="148">
        <f>40.50211+278.58796</f>
        <v>319.09007000000003</v>
      </c>
      <c r="F604" s="148">
        <f>40.50211+278.58796</f>
        <v>319.09007000000003</v>
      </c>
      <c r="G604" s="61" t="s">
        <v>724</v>
      </c>
    </row>
    <row r="605" spans="1:7" s="1" customFormat="1" ht="47.25">
      <c r="A605" s="51" t="s">
        <v>1104</v>
      </c>
      <c r="B605" s="51" t="s">
        <v>1103</v>
      </c>
      <c r="C605" s="61" t="s">
        <v>725</v>
      </c>
      <c r="D605" s="148">
        <f>34.29053+285.48119+4.64884</f>
        <v>324.42056000000002</v>
      </c>
      <c r="E605" s="148">
        <f>34.29053+264.28228</f>
        <v>298.57281</v>
      </c>
      <c r="F605" s="148">
        <f>34.29053+264.28228</f>
        <v>298.57281</v>
      </c>
      <c r="G605" s="61" t="s">
        <v>724</v>
      </c>
    </row>
    <row r="606" spans="1:7" s="1" customFormat="1" ht="47.25">
      <c r="A606" s="51" t="s">
        <v>1102</v>
      </c>
      <c r="B606" s="51" t="s">
        <v>1101</v>
      </c>
      <c r="C606" s="61" t="s">
        <v>725</v>
      </c>
      <c r="D606" s="148">
        <f>23.23263+211.68085+3.34972</f>
        <v>238.26319999999998</v>
      </c>
      <c r="E606" s="148">
        <f>23.23263+197.19067</f>
        <v>220.42330000000001</v>
      </c>
      <c r="F606" s="148">
        <f>23.23263+197.19067</f>
        <v>220.42330000000001</v>
      </c>
      <c r="G606" s="61" t="s">
        <v>724</v>
      </c>
    </row>
    <row r="607" spans="1:7" s="1" customFormat="1" ht="47.25">
      <c r="A607" s="51" t="s">
        <v>1100</v>
      </c>
      <c r="B607" s="51" t="s">
        <v>1099</v>
      </c>
      <c r="C607" s="61" t="s">
        <v>725</v>
      </c>
      <c r="D607" s="148">
        <f>12.53158+185.0904+3.00376</f>
        <v>200.62573999999998</v>
      </c>
      <c r="E607" s="148">
        <f>12.53158+166.87207</f>
        <v>179.40365</v>
      </c>
      <c r="F607" s="148">
        <f>12.53158+166.87207</f>
        <v>179.40365</v>
      </c>
      <c r="G607" s="61" t="s">
        <v>724</v>
      </c>
    </row>
    <row r="608" spans="1:7" s="1" customFormat="1" ht="47.25">
      <c r="A608" s="51" t="s">
        <v>1098</v>
      </c>
      <c r="B608" s="51" t="s">
        <v>1097</v>
      </c>
      <c r="C608" s="61" t="s">
        <v>725</v>
      </c>
      <c r="D608" s="148">
        <f>13.22842+125.22618+2.04116</f>
        <v>140.49575999999999</v>
      </c>
      <c r="E608" s="148">
        <f>13.22842+116.83626</f>
        <v>130.06468000000001</v>
      </c>
      <c r="F608" s="148">
        <f>13.22842+116.83626</f>
        <v>130.06468000000001</v>
      </c>
      <c r="G608" s="61" t="s">
        <v>724</v>
      </c>
    </row>
    <row r="609" spans="1:7" s="1" customFormat="1" ht="47.25">
      <c r="A609" s="51" t="s">
        <v>1096</v>
      </c>
      <c r="B609" s="51" t="s">
        <v>1095</v>
      </c>
      <c r="C609" s="61" t="s">
        <v>725</v>
      </c>
      <c r="D609" s="148">
        <f>9.22211+48.27607+0.78676</f>
        <v>58.284939999999999</v>
      </c>
      <c r="E609" s="148">
        <f>9.22211+45.00911</f>
        <v>54.23122</v>
      </c>
      <c r="F609" s="148">
        <f>9.22211+45.00911</f>
        <v>54.23122</v>
      </c>
      <c r="G609" s="61" t="s">
        <v>724</v>
      </c>
    </row>
    <row r="610" spans="1:7" s="1" customFormat="1" ht="47.25">
      <c r="A610" s="51" t="s">
        <v>1094</v>
      </c>
      <c r="B610" s="51" t="s">
        <v>1093</v>
      </c>
      <c r="C610" s="61" t="s">
        <v>725</v>
      </c>
      <c r="D610" s="148">
        <f>16.25474+94.25426+1.53586</f>
        <v>112.04486</v>
      </c>
      <c r="E610" s="148">
        <f>16.25474+87.7566</f>
        <v>104.01134</v>
      </c>
      <c r="F610" s="148">
        <f>16.25474+87.7566</f>
        <v>104.01134</v>
      </c>
      <c r="G610" s="61" t="s">
        <v>724</v>
      </c>
    </row>
    <row r="611" spans="1:7" s="1" customFormat="1" ht="47.25">
      <c r="A611" s="51" t="s">
        <v>1092</v>
      </c>
      <c r="B611" s="51" t="s">
        <v>1091</v>
      </c>
      <c r="C611" s="61" t="s">
        <v>725</v>
      </c>
      <c r="D611" s="148">
        <f>26.93474+260.44591+4.24887</f>
        <v>291.62952000000001</v>
      </c>
      <c r="E611" s="148">
        <f>26.93474+244.64526</f>
        <v>271.58</v>
      </c>
      <c r="F611" s="148">
        <f>26.93474+244.64526</f>
        <v>271.58</v>
      </c>
      <c r="G611" s="61" t="s">
        <v>724</v>
      </c>
    </row>
    <row r="612" spans="1:7" s="1" customFormat="1" ht="47.25">
      <c r="A612" s="51" t="s">
        <v>1090</v>
      </c>
      <c r="B612" s="51" t="s">
        <v>1089</v>
      </c>
      <c r="C612" s="61" t="s">
        <v>725</v>
      </c>
      <c r="D612" s="148">
        <f>22.14842+594.40751+9.68341</f>
        <v>626.23933999999997</v>
      </c>
      <c r="E612" s="148">
        <f>22.14842+552.12547</f>
        <v>574.27388999999994</v>
      </c>
      <c r="F612" s="148">
        <f>22.14842+552.12547</f>
        <v>574.27388999999994</v>
      </c>
      <c r="G612" s="61" t="s">
        <v>724</v>
      </c>
    </row>
    <row r="613" spans="1:7" s="1" customFormat="1" ht="47.25">
      <c r="A613" s="51" t="s">
        <v>1088</v>
      </c>
      <c r="B613" s="51" t="s">
        <v>1087</v>
      </c>
      <c r="C613" s="61" t="s">
        <v>725</v>
      </c>
      <c r="D613" s="148">
        <f>12.31263+445.96807+7.24798</f>
        <v>465.52868000000001</v>
      </c>
      <c r="E613" s="148">
        <f>12.31263+406.9922</f>
        <v>419.30483000000004</v>
      </c>
      <c r="F613" s="148">
        <f>12.31263+406.9922</f>
        <v>419.30483000000004</v>
      </c>
      <c r="G613" s="61" t="s">
        <v>724</v>
      </c>
    </row>
    <row r="614" spans="1:7" s="1" customFormat="1" ht="47.25">
      <c r="A614" s="51" t="s">
        <v>1086</v>
      </c>
      <c r="B614" s="51" t="s">
        <v>1085</v>
      </c>
      <c r="C614" s="61" t="s">
        <v>725</v>
      </c>
      <c r="D614" s="148">
        <f>12.53158+94.25426+1.53586</f>
        <v>108.32170000000001</v>
      </c>
      <c r="E614" s="148">
        <f>12.53158+87.7566</f>
        <v>100.28818000000001</v>
      </c>
      <c r="F614" s="148">
        <f>12.53158+87.7566</f>
        <v>100.28818000000001</v>
      </c>
      <c r="G614" s="61" t="s">
        <v>724</v>
      </c>
    </row>
    <row r="615" spans="1:7" s="1" customFormat="1" ht="47.25">
      <c r="A615" s="51" t="s">
        <v>1084</v>
      </c>
      <c r="B615" s="51" t="s">
        <v>1083</v>
      </c>
      <c r="C615" s="61" t="s">
        <v>725</v>
      </c>
      <c r="D615" s="148">
        <f>32.74006-27.85311</f>
        <v>4.8869499999999988</v>
      </c>
      <c r="E615" s="155">
        <v>4.4565400000000004</v>
      </c>
      <c r="F615" s="155">
        <v>4.4565400000000004</v>
      </c>
      <c r="G615" s="61" t="s">
        <v>1078</v>
      </c>
    </row>
    <row r="616" spans="1:7" s="1" customFormat="1" ht="47.25">
      <c r="A616" s="51" t="s">
        <v>1082</v>
      </c>
      <c r="B616" s="51" t="s">
        <v>1081</v>
      </c>
      <c r="C616" s="61" t="s">
        <v>725</v>
      </c>
      <c r="D616" s="148">
        <f>3.50142-0.00552</f>
        <v>3.4958999999999998</v>
      </c>
      <c r="E616" s="155">
        <v>3.4958999999999998</v>
      </c>
      <c r="F616" s="155">
        <v>3.4958999999999998</v>
      </c>
      <c r="G616" s="61" t="s">
        <v>1078</v>
      </c>
    </row>
    <row r="617" spans="1:7" s="1" customFormat="1" ht="47.25">
      <c r="A617" s="51" t="s">
        <v>1080</v>
      </c>
      <c r="B617" s="51" t="s">
        <v>1079</v>
      </c>
      <c r="C617" s="61" t="s">
        <v>725</v>
      </c>
      <c r="D617" s="148">
        <f>1.34452-0.21179</f>
        <v>1.13273</v>
      </c>
      <c r="E617" s="155">
        <v>0.86502999999999997</v>
      </c>
      <c r="F617" s="155">
        <v>0.86502999999999997</v>
      </c>
      <c r="G617" s="61" t="s">
        <v>1078</v>
      </c>
    </row>
    <row r="618" spans="1:7" s="1" customFormat="1" ht="47.25">
      <c r="A618" s="51" t="s">
        <v>1077</v>
      </c>
      <c r="B618" s="51" t="s">
        <v>1076</v>
      </c>
      <c r="C618" s="61" t="s">
        <v>725</v>
      </c>
      <c r="D618" s="148">
        <f>0.55055</f>
        <v>0.55054999999999998</v>
      </c>
      <c r="E618" s="155">
        <v>0.54013999999999995</v>
      </c>
      <c r="F618" s="155">
        <v>0.54013999999999995</v>
      </c>
      <c r="G618" s="61" t="s">
        <v>771</v>
      </c>
    </row>
    <row r="619" spans="1:7" s="1" customFormat="1" ht="47.25">
      <c r="A619" s="51" t="s">
        <v>1075</v>
      </c>
      <c r="B619" s="51" t="s">
        <v>1074</v>
      </c>
      <c r="C619" s="61" t="s">
        <v>725</v>
      </c>
      <c r="D619" s="148">
        <v>1.3363</v>
      </c>
      <c r="E619" s="155">
        <v>0</v>
      </c>
      <c r="F619" s="156">
        <v>0</v>
      </c>
      <c r="G619" s="150"/>
    </row>
    <row r="620" spans="1:7" s="1" customFormat="1" ht="47.25">
      <c r="A620" s="51" t="s">
        <v>1073</v>
      </c>
      <c r="B620" s="51" t="s">
        <v>1072</v>
      </c>
      <c r="C620" s="61" t="s">
        <v>725</v>
      </c>
      <c r="D620" s="148">
        <v>0.69311999999999996</v>
      </c>
      <c r="E620" s="155">
        <v>0.69311999999999996</v>
      </c>
      <c r="F620" s="155">
        <v>0.69311999999999996</v>
      </c>
      <c r="G620" s="61" t="s">
        <v>1059</v>
      </c>
    </row>
    <row r="621" spans="1:7" s="1" customFormat="1" ht="47.25">
      <c r="A621" s="51" t="s">
        <v>1071</v>
      </c>
      <c r="B621" s="51" t="s">
        <v>1070</v>
      </c>
      <c r="C621" s="61" t="s">
        <v>725</v>
      </c>
      <c r="D621" s="148">
        <v>0.58286000000000004</v>
      </c>
      <c r="E621" s="155">
        <v>0.58286000000000004</v>
      </c>
      <c r="F621" s="155">
        <v>0.58286000000000004</v>
      </c>
      <c r="G621" s="61" t="s">
        <v>1059</v>
      </c>
    </row>
    <row r="622" spans="1:7" s="1" customFormat="1" ht="47.25">
      <c r="A622" s="51" t="s">
        <v>1069</v>
      </c>
      <c r="B622" s="51" t="s">
        <v>1068</v>
      </c>
      <c r="C622" s="61" t="s">
        <v>725</v>
      </c>
      <c r="D622" s="148">
        <v>1.20564</v>
      </c>
      <c r="E622" s="155">
        <v>0</v>
      </c>
      <c r="F622" s="156">
        <v>0</v>
      </c>
      <c r="G622" s="150"/>
    </row>
    <row r="623" spans="1:7" s="1" customFormat="1" ht="47.25">
      <c r="A623" s="51" t="s">
        <v>1067</v>
      </c>
      <c r="B623" s="51" t="s">
        <v>1066</v>
      </c>
      <c r="C623" s="61" t="s">
        <v>725</v>
      </c>
      <c r="D623" s="148">
        <v>1.2527999999999999</v>
      </c>
      <c r="E623" s="155">
        <v>1.2527999999999999</v>
      </c>
      <c r="F623" s="155">
        <v>1.2527999999999999</v>
      </c>
      <c r="G623" s="61" t="s">
        <v>1059</v>
      </c>
    </row>
    <row r="624" spans="1:7" s="1" customFormat="1" ht="47.25">
      <c r="A624" s="51" t="s">
        <v>1065</v>
      </c>
      <c r="B624" s="51" t="s">
        <v>1064</v>
      </c>
      <c r="C624" s="61" t="s">
        <v>725</v>
      </c>
      <c r="D624" s="148">
        <v>0.80008999999999997</v>
      </c>
      <c r="E624" s="148">
        <v>0.80008999999999997</v>
      </c>
      <c r="F624" s="148">
        <v>0.80008999999999997</v>
      </c>
      <c r="G624" s="61" t="s">
        <v>1059</v>
      </c>
    </row>
    <row r="625" spans="1:7" s="1" customFormat="1" ht="47.25">
      <c r="A625" s="51" t="s">
        <v>1063</v>
      </c>
      <c r="B625" s="51" t="s">
        <v>1062</v>
      </c>
      <c r="C625" s="61" t="s">
        <v>725</v>
      </c>
      <c r="D625" s="148">
        <v>2.4617</v>
      </c>
      <c r="E625" s="155">
        <v>2.4617</v>
      </c>
      <c r="F625" s="155">
        <v>2.4617</v>
      </c>
      <c r="G625" s="61" t="s">
        <v>1059</v>
      </c>
    </row>
    <row r="626" spans="1:7" s="1" customFormat="1" ht="47.25">
      <c r="A626" s="51" t="s">
        <v>1061</v>
      </c>
      <c r="B626" s="51" t="s">
        <v>1060</v>
      </c>
      <c r="C626" s="61" t="s">
        <v>725</v>
      </c>
      <c r="D626" s="148">
        <v>46.12144</v>
      </c>
      <c r="E626" s="148">
        <v>30.564299999999999</v>
      </c>
      <c r="F626" s="155">
        <f>30.5643-10.33246+9.09075</f>
        <v>29.322589999999998</v>
      </c>
      <c r="G626" s="61" t="s">
        <v>1059</v>
      </c>
    </row>
    <row r="627" spans="1:7" s="1" customFormat="1" ht="47.25">
      <c r="A627" s="51" t="s">
        <v>1058</v>
      </c>
      <c r="B627" s="51" t="s">
        <v>1057</v>
      </c>
      <c r="C627" s="61" t="s">
        <v>725</v>
      </c>
      <c r="D627" s="148">
        <v>136.48033000000001</v>
      </c>
      <c r="E627" s="155">
        <f>87.50144-10.6882+27.00339</f>
        <v>103.81663</v>
      </c>
      <c r="F627" s="155">
        <f>87.50144-10.6882+27.00339</f>
        <v>103.81663</v>
      </c>
      <c r="G627" s="61" t="s">
        <v>1054</v>
      </c>
    </row>
    <row r="628" spans="1:7" s="1" customFormat="1" ht="47.25">
      <c r="A628" s="51" t="s">
        <v>1056</v>
      </c>
      <c r="B628" s="51" t="s">
        <v>1055</v>
      </c>
      <c r="C628" s="61" t="s">
        <v>725</v>
      </c>
      <c r="D628" s="148">
        <v>12.06686</v>
      </c>
      <c r="E628" s="155">
        <v>3.2957000000000001</v>
      </c>
      <c r="F628" s="155">
        <v>3.2957000000000001</v>
      </c>
      <c r="G628" s="61" t="s">
        <v>1054</v>
      </c>
    </row>
    <row r="629" spans="1:7" s="1" customFormat="1" ht="47.25">
      <c r="A629" s="51" t="s">
        <v>1053</v>
      </c>
      <c r="B629" s="51" t="s">
        <v>1052</v>
      </c>
      <c r="C629" s="61" t="s">
        <v>725</v>
      </c>
      <c r="D629" s="148">
        <f>70.29556+1.15399-12.2652</f>
        <v>59.184349999999988</v>
      </c>
      <c r="E629" s="155">
        <v>58.030360000000002</v>
      </c>
      <c r="F629" s="155">
        <v>58.030360000000002</v>
      </c>
      <c r="G629" s="61" t="s">
        <v>766</v>
      </c>
    </row>
    <row r="630" spans="1:7" s="1" customFormat="1" ht="47.25">
      <c r="A630" s="51" t="s">
        <v>1051</v>
      </c>
      <c r="B630" s="51" t="s">
        <v>1050</v>
      </c>
      <c r="C630" s="61" t="s">
        <v>725</v>
      </c>
      <c r="D630" s="148">
        <v>45.537999999999997</v>
      </c>
      <c r="E630" s="155">
        <v>45.537999999999997</v>
      </c>
      <c r="F630" s="155">
        <v>45.537999999999997</v>
      </c>
      <c r="G630" s="61" t="s">
        <v>771</v>
      </c>
    </row>
    <row r="631" spans="1:7" s="1" customFormat="1" ht="47.25">
      <c r="A631" s="51" t="s">
        <v>1049</v>
      </c>
      <c r="B631" s="51" t="s">
        <v>1048</v>
      </c>
      <c r="C631" s="61" t="s">
        <v>725</v>
      </c>
      <c r="D631" s="148">
        <v>13.696999999999999</v>
      </c>
      <c r="E631" s="148">
        <v>13.696999999999999</v>
      </c>
      <c r="F631" s="148">
        <v>13.696999999999999</v>
      </c>
      <c r="G631" s="61" t="s">
        <v>771</v>
      </c>
    </row>
    <row r="632" spans="1:7" s="1" customFormat="1" ht="47.25">
      <c r="A632" s="51" t="s">
        <v>1047</v>
      </c>
      <c r="B632" s="51" t="s">
        <v>1046</v>
      </c>
      <c r="C632" s="61" t="s">
        <v>725</v>
      </c>
      <c r="D632" s="148">
        <v>13.234</v>
      </c>
      <c r="E632" s="148">
        <v>13.234</v>
      </c>
      <c r="F632" s="148">
        <v>13.234</v>
      </c>
      <c r="G632" s="61" t="s">
        <v>771</v>
      </c>
    </row>
    <row r="633" spans="1:7" s="1" customFormat="1" ht="47.25">
      <c r="A633" s="51" t="s">
        <v>1045</v>
      </c>
      <c r="B633" s="51" t="s">
        <v>1044</v>
      </c>
      <c r="C633" s="61" t="s">
        <v>725</v>
      </c>
      <c r="D633" s="148">
        <v>10.711</v>
      </c>
      <c r="E633" s="148">
        <v>10.711</v>
      </c>
      <c r="F633" s="148">
        <v>10.711</v>
      </c>
      <c r="G633" s="61" t="s">
        <v>747</v>
      </c>
    </row>
    <row r="634" spans="1:7" s="1" customFormat="1" ht="47.25">
      <c r="A634" s="51" t="s">
        <v>1043</v>
      </c>
      <c r="B634" s="51" t="s">
        <v>1042</v>
      </c>
      <c r="C634" s="61" t="s">
        <v>725</v>
      </c>
      <c r="D634" s="148">
        <v>8.82</v>
      </c>
      <c r="E634" s="148">
        <v>8.82</v>
      </c>
      <c r="F634" s="148">
        <v>8.82</v>
      </c>
      <c r="G634" s="61" t="s">
        <v>747</v>
      </c>
    </row>
    <row r="635" spans="1:7" s="1" customFormat="1" ht="47.25">
      <c r="A635" s="51" t="s">
        <v>1041</v>
      </c>
      <c r="B635" s="51" t="s">
        <v>1040</v>
      </c>
      <c r="C635" s="61" t="s">
        <v>725</v>
      </c>
      <c r="D635" s="148">
        <v>13.339</v>
      </c>
      <c r="E635" s="148">
        <v>13.339</v>
      </c>
      <c r="F635" s="148">
        <v>13.339</v>
      </c>
      <c r="G635" s="61" t="s">
        <v>747</v>
      </c>
    </row>
    <row r="636" spans="1:7" s="1" customFormat="1" ht="47.25">
      <c r="A636" s="51" t="s">
        <v>1039</v>
      </c>
      <c r="B636" s="51" t="s">
        <v>1038</v>
      </c>
      <c r="C636" s="61" t="s">
        <v>725</v>
      </c>
      <c r="D636" s="148">
        <v>12.957000000000001</v>
      </c>
      <c r="E636" s="148">
        <v>12.957000000000001</v>
      </c>
      <c r="F636" s="148">
        <v>12.957000000000001</v>
      </c>
      <c r="G636" s="61" t="s">
        <v>747</v>
      </c>
    </row>
    <row r="637" spans="1:7" s="1" customFormat="1" ht="47.25">
      <c r="A637" s="51" t="s">
        <v>1037</v>
      </c>
      <c r="B637" s="51" t="s">
        <v>1036</v>
      </c>
      <c r="C637" s="61" t="s">
        <v>725</v>
      </c>
      <c r="D637" s="148">
        <v>12.84</v>
      </c>
      <c r="E637" s="148">
        <v>12.84</v>
      </c>
      <c r="F637" s="148">
        <v>12.84</v>
      </c>
      <c r="G637" s="61" t="s">
        <v>747</v>
      </c>
    </row>
    <row r="638" spans="1:7" s="1" customFormat="1" ht="47.25">
      <c r="A638" s="51" t="s">
        <v>1035</v>
      </c>
      <c r="B638" s="51" t="s">
        <v>1034</v>
      </c>
      <c r="C638" s="61" t="s">
        <v>725</v>
      </c>
      <c r="D638" s="148">
        <v>8.9169999999999998</v>
      </c>
      <c r="E638" s="148">
        <v>8.9169999999999998</v>
      </c>
      <c r="F638" s="148">
        <v>8.9169999999999998</v>
      </c>
      <c r="G638" s="61" t="s">
        <v>747</v>
      </c>
    </row>
    <row r="639" spans="1:7" s="1" customFormat="1" ht="47.25">
      <c r="A639" s="51" t="s">
        <v>1033</v>
      </c>
      <c r="B639" s="51" t="s">
        <v>1032</v>
      </c>
      <c r="C639" s="61" t="s">
        <v>725</v>
      </c>
      <c r="D639" s="148">
        <v>8.7449999999999992</v>
      </c>
      <c r="E639" s="148">
        <v>8.7449999999999992</v>
      </c>
      <c r="F639" s="148">
        <v>8.7449999999999992</v>
      </c>
      <c r="G639" s="61" t="s">
        <v>747</v>
      </c>
    </row>
    <row r="640" spans="1:7" s="1" customFormat="1" ht="47.25">
      <c r="A640" s="51" t="s">
        <v>1031</v>
      </c>
      <c r="B640" s="51" t="s">
        <v>1030</v>
      </c>
      <c r="C640" s="61" t="s">
        <v>725</v>
      </c>
      <c r="D640" s="148">
        <v>8.8960000000000008</v>
      </c>
      <c r="E640" s="148">
        <v>8.8960000000000008</v>
      </c>
      <c r="F640" s="148">
        <v>8.8960000000000008</v>
      </c>
      <c r="G640" s="61" t="s">
        <v>747</v>
      </c>
    </row>
    <row r="641" spans="1:7" s="1" customFormat="1" ht="47.25">
      <c r="A641" s="51" t="s">
        <v>1029</v>
      </c>
      <c r="B641" s="51" t="s">
        <v>1028</v>
      </c>
      <c r="C641" s="61" t="s">
        <v>725</v>
      </c>
      <c r="D641" s="148">
        <v>9.218</v>
      </c>
      <c r="E641" s="148">
        <v>9.218</v>
      </c>
      <c r="F641" s="148">
        <v>9.218</v>
      </c>
      <c r="G641" s="61" t="s">
        <v>747</v>
      </c>
    </row>
    <row r="642" spans="1:7" s="1" customFormat="1" ht="47.25">
      <c r="A642" s="51" t="s">
        <v>1027</v>
      </c>
      <c r="B642" s="51" t="s">
        <v>1026</v>
      </c>
      <c r="C642" s="61" t="s">
        <v>725</v>
      </c>
      <c r="D642" s="148">
        <v>8.8960000000000008</v>
      </c>
      <c r="E642" s="148">
        <v>8.8960000000000008</v>
      </c>
      <c r="F642" s="148">
        <v>8.8960000000000008</v>
      </c>
      <c r="G642" s="61" t="s">
        <v>747</v>
      </c>
    </row>
    <row r="643" spans="1:7" s="1" customFormat="1" ht="47.25">
      <c r="A643" s="51" t="s">
        <v>1025</v>
      </c>
      <c r="B643" s="51" t="s">
        <v>1024</v>
      </c>
      <c r="C643" s="61" t="s">
        <v>725</v>
      </c>
      <c r="D643" s="148">
        <v>9.218</v>
      </c>
      <c r="E643" s="148">
        <v>9.218</v>
      </c>
      <c r="F643" s="148">
        <v>9.218</v>
      </c>
      <c r="G643" s="61" t="s">
        <v>747</v>
      </c>
    </row>
    <row r="644" spans="1:7" s="1" customFormat="1" ht="47.25">
      <c r="A644" s="51" t="s">
        <v>1023</v>
      </c>
      <c r="B644" s="51" t="s">
        <v>1022</v>
      </c>
      <c r="C644" s="61" t="s">
        <v>725</v>
      </c>
      <c r="D644" s="148">
        <v>11.409000000000001</v>
      </c>
      <c r="E644" s="148">
        <v>11.409000000000001</v>
      </c>
      <c r="F644" s="148">
        <v>11.409000000000001</v>
      </c>
      <c r="G644" s="61" t="s">
        <v>747</v>
      </c>
    </row>
    <row r="645" spans="1:7" s="1" customFormat="1" ht="47.25">
      <c r="A645" s="51" t="s">
        <v>1021</v>
      </c>
      <c r="B645" s="51" t="s">
        <v>1020</v>
      </c>
      <c r="C645" s="61" t="s">
        <v>725</v>
      </c>
      <c r="D645" s="148">
        <v>10.513</v>
      </c>
      <c r="E645" s="148">
        <v>10.513</v>
      </c>
      <c r="F645" s="148">
        <v>10.513</v>
      </c>
      <c r="G645" s="61" t="s">
        <v>747</v>
      </c>
    </row>
    <row r="646" spans="1:7" s="1" customFormat="1" ht="47.25">
      <c r="A646" s="51" t="s">
        <v>1019</v>
      </c>
      <c r="B646" s="51" t="s">
        <v>1018</v>
      </c>
      <c r="C646" s="61" t="s">
        <v>725</v>
      </c>
      <c r="D646" s="148">
        <v>10.691000000000001</v>
      </c>
      <c r="E646" s="148">
        <v>10.691000000000001</v>
      </c>
      <c r="F646" s="148">
        <v>10.691000000000001</v>
      </c>
      <c r="G646" s="61" t="s">
        <v>747</v>
      </c>
    </row>
    <row r="647" spans="1:7" s="1" customFormat="1" ht="47.25">
      <c r="A647" s="51" t="s">
        <v>1017</v>
      </c>
      <c r="B647" s="51" t="s">
        <v>1016</v>
      </c>
      <c r="C647" s="61" t="s">
        <v>725</v>
      </c>
      <c r="D647" s="148">
        <v>11.028</v>
      </c>
      <c r="E647" s="148">
        <v>11.028</v>
      </c>
      <c r="F647" s="148">
        <v>11.028</v>
      </c>
      <c r="G647" s="61" t="s">
        <v>747</v>
      </c>
    </row>
    <row r="648" spans="1:7" s="1" customFormat="1" ht="47.25">
      <c r="A648" s="51" t="s">
        <v>1015</v>
      </c>
      <c r="B648" s="51" t="s">
        <v>1014</v>
      </c>
      <c r="C648" s="61" t="s">
        <v>725</v>
      </c>
      <c r="D648" s="148">
        <v>12.84</v>
      </c>
      <c r="E648" s="148">
        <v>12.84</v>
      </c>
      <c r="F648" s="148">
        <v>12.84</v>
      </c>
      <c r="G648" s="61" t="s">
        <v>747</v>
      </c>
    </row>
    <row r="649" spans="1:7" s="1" customFormat="1" ht="47.25">
      <c r="A649" s="51" t="s">
        <v>1013</v>
      </c>
      <c r="B649" s="51" t="s">
        <v>1012</v>
      </c>
      <c r="C649" s="61" t="s">
        <v>725</v>
      </c>
      <c r="D649" s="148">
        <v>12.84</v>
      </c>
      <c r="E649" s="148">
        <v>12.84</v>
      </c>
      <c r="F649" s="148">
        <v>12.84</v>
      </c>
      <c r="G649" s="61" t="s">
        <v>747</v>
      </c>
    </row>
    <row r="650" spans="1:7" s="1" customFormat="1" ht="47.25">
      <c r="A650" s="51" t="s">
        <v>1011</v>
      </c>
      <c r="B650" s="51" t="s">
        <v>1010</v>
      </c>
      <c r="C650" s="61" t="s">
        <v>725</v>
      </c>
      <c r="D650" s="148">
        <f>21.20737+190.23647+3.09415</f>
        <v>214.53799000000001</v>
      </c>
      <c r="E650" s="148">
        <f>21.20737+174.58512</f>
        <v>195.79248999999999</v>
      </c>
      <c r="F650" s="148">
        <f>21.20737+174.58512</f>
        <v>195.79248999999999</v>
      </c>
      <c r="G650" s="61" t="s">
        <v>747</v>
      </c>
    </row>
    <row r="651" spans="1:7" s="1" customFormat="1" ht="47.25">
      <c r="A651" s="51" t="s">
        <v>1009</v>
      </c>
      <c r="B651" s="51" t="s">
        <v>1008</v>
      </c>
      <c r="C651" s="61" t="s">
        <v>725</v>
      </c>
      <c r="D651" s="148">
        <v>10.727</v>
      </c>
      <c r="E651" s="148">
        <v>10.727</v>
      </c>
      <c r="F651" s="148">
        <v>10.727</v>
      </c>
      <c r="G651" s="61" t="s">
        <v>747</v>
      </c>
    </row>
    <row r="652" spans="1:7" s="1" customFormat="1" ht="47.25">
      <c r="A652" s="51" t="s">
        <v>1007</v>
      </c>
      <c r="B652" s="51" t="s">
        <v>1006</v>
      </c>
      <c r="C652" s="61" t="s">
        <v>725</v>
      </c>
      <c r="D652" s="148">
        <v>9.218</v>
      </c>
      <c r="E652" s="148">
        <v>9.218</v>
      </c>
      <c r="F652" s="148">
        <v>9.218</v>
      </c>
      <c r="G652" s="61" t="s">
        <v>747</v>
      </c>
    </row>
    <row r="653" spans="1:7" s="1" customFormat="1" ht="47.25">
      <c r="A653" s="51" t="s">
        <v>1005</v>
      </c>
      <c r="B653" s="51" t="s">
        <v>1004</v>
      </c>
      <c r="C653" s="61" t="s">
        <v>725</v>
      </c>
      <c r="D653" s="148">
        <v>8.8960000000000008</v>
      </c>
      <c r="E653" s="148">
        <v>8.8960000000000008</v>
      </c>
      <c r="F653" s="148">
        <v>8.8960000000000008</v>
      </c>
      <c r="G653" s="61" t="s">
        <v>724</v>
      </c>
    </row>
    <row r="654" spans="1:7" s="1" customFormat="1" ht="47.25">
      <c r="A654" s="51" t="s">
        <v>1003</v>
      </c>
      <c r="B654" s="51" t="s">
        <v>1002</v>
      </c>
      <c r="C654" s="61" t="s">
        <v>725</v>
      </c>
      <c r="D654" s="148">
        <v>12.84</v>
      </c>
      <c r="E654" s="148">
        <v>12.84</v>
      </c>
      <c r="F654" s="148">
        <v>12.84</v>
      </c>
      <c r="G654" s="61" t="s">
        <v>747</v>
      </c>
    </row>
    <row r="655" spans="1:7" s="1" customFormat="1" ht="47.25">
      <c r="A655" s="51" t="s">
        <v>1001</v>
      </c>
      <c r="B655" s="51" t="s">
        <v>1000</v>
      </c>
      <c r="C655" s="61" t="s">
        <v>725</v>
      </c>
      <c r="D655" s="148">
        <v>12.84</v>
      </c>
      <c r="E655" s="148">
        <v>12.84</v>
      </c>
      <c r="F655" s="148">
        <v>12.84</v>
      </c>
      <c r="G655" s="61" t="s">
        <v>747</v>
      </c>
    </row>
    <row r="656" spans="1:7" s="1" customFormat="1" ht="47.25">
      <c r="A656" s="51" t="s">
        <v>999</v>
      </c>
      <c r="B656" s="51" t="s">
        <v>998</v>
      </c>
      <c r="C656" s="61" t="s">
        <v>725</v>
      </c>
      <c r="D656" s="148">
        <v>12.84</v>
      </c>
      <c r="E656" s="148">
        <v>12.84</v>
      </c>
      <c r="F656" s="148">
        <v>12.84</v>
      </c>
      <c r="G656" s="61" t="s">
        <v>747</v>
      </c>
    </row>
    <row r="657" spans="1:7" s="1" customFormat="1" ht="47.25">
      <c r="A657" s="51" t="s">
        <v>997</v>
      </c>
      <c r="B657" s="51" t="s">
        <v>996</v>
      </c>
      <c r="C657" s="61" t="s">
        <v>725</v>
      </c>
      <c r="D657" s="148">
        <v>12.84</v>
      </c>
      <c r="E657" s="148">
        <v>12.84</v>
      </c>
      <c r="F657" s="148">
        <v>12.84</v>
      </c>
      <c r="G657" s="61" t="s">
        <v>747</v>
      </c>
    </row>
    <row r="658" spans="1:7" s="1" customFormat="1" ht="47.25">
      <c r="A658" s="51" t="s">
        <v>995</v>
      </c>
      <c r="B658" s="51" t="s">
        <v>994</v>
      </c>
      <c r="C658" s="61" t="s">
        <v>725</v>
      </c>
      <c r="D658" s="148">
        <f>12.24+150.42644</f>
        <v>162.66644000000002</v>
      </c>
      <c r="E658" s="148">
        <f>12.24+129.8762</f>
        <v>142.11620000000002</v>
      </c>
      <c r="F658" s="148">
        <f>12.24+129.8762</f>
        <v>142.11620000000002</v>
      </c>
      <c r="G658" s="61" t="s">
        <v>747</v>
      </c>
    </row>
    <row r="659" spans="1:7" s="1" customFormat="1" ht="47.25">
      <c r="A659" s="51" t="s">
        <v>993</v>
      </c>
      <c r="B659" s="51" t="s">
        <v>992</v>
      </c>
      <c r="C659" s="61" t="s">
        <v>725</v>
      </c>
      <c r="D659" s="148">
        <f>57.342+692.72656</f>
        <v>750.06855999999993</v>
      </c>
      <c r="E659" s="148">
        <f>57.342+554.92069</f>
        <v>612.26269000000002</v>
      </c>
      <c r="F659" s="148">
        <f>57.342+554.92069</f>
        <v>612.26269000000002</v>
      </c>
      <c r="G659" s="61" t="s">
        <v>747</v>
      </c>
    </row>
    <row r="660" spans="1:7" s="1" customFormat="1" ht="47.25">
      <c r="A660" s="51" t="s">
        <v>991</v>
      </c>
      <c r="B660" s="51" t="s">
        <v>990</v>
      </c>
      <c r="C660" s="61" t="s">
        <v>725</v>
      </c>
      <c r="D660" s="148">
        <f>8.757+105.0302</f>
        <v>113.7872</v>
      </c>
      <c r="E660" s="148">
        <f>8.757+94.93355</f>
        <v>103.69055</v>
      </c>
      <c r="F660" s="148">
        <f>8.757+94.93355</f>
        <v>103.69055</v>
      </c>
      <c r="G660" s="61" t="s">
        <v>747</v>
      </c>
    </row>
    <row r="661" spans="1:7" s="1" customFormat="1" ht="47.25">
      <c r="A661" s="51" t="s">
        <v>989</v>
      </c>
      <c r="B661" s="51" t="s">
        <v>988</v>
      </c>
      <c r="C661" s="61" t="s">
        <v>725</v>
      </c>
      <c r="D661" s="148">
        <f>7.915+105.46142</f>
        <v>113.37642000000001</v>
      </c>
      <c r="E661" s="148">
        <f>7.915+93.96755</f>
        <v>101.88255000000001</v>
      </c>
      <c r="F661" s="148">
        <f>7.915+93.96755</f>
        <v>101.88255000000001</v>
      </c>
      <c r="G661" s="61" t="s">
        <v>889</v>
      </c>
    </row>
    <row r="662" spans="1:7" s="1" customFormat="1" ht="47.25">
      <c r="A662" s="51" t="s">
        <v>987</v>
      </c>
      <c r="B662" s="51" t="s">
        <v>986</v>
      </c>
      <c r="C662" s="61" t="s">
        <v>725</v>
      </c>
      <c r="D662" s="148">
        <v>8.82</v>
      </c>
      <c r="E662" s="148">
        <v>8.82</v>
      </c>
      <c r="F662" s="148">
        <v>8.82</v>
      </c>
      <c r="G662" s="61" t="s">
        <v>889</v>
      </c>
    </row>
    <row r="663" spans="1:7" s="1" customFormat="1" ht="47.25">
      <c r="A663" s="51" t="s">
        <v>985</v>
      </c>
      <c r="B663" s="51" t="s">
        <v>984</v>
      </c>
      <c r="C663" s="61" t="s">
        <v>725</v>
      </c>
      <c r="D663" s="148">
        <v>8.82</v>
      </c>
      <c r="E663" s="148">
        <v>8.82</v>
      </c>
      <c r="F663" s="148">
        <v>8.82</v>
      </c>
      <c r="G663" s="61" t="s">
        <v>889</v>
      </c>
    </row>
    <row r="664" spans="1:7" s="1" customFormat="1" ht="47.25">
      <c r="A664" s="51" t="s">
        <v>983</v>
      </c>
      <c r="B664" s="51" t="s">
        <v>982</v>
      </c>
      <c r="C664" s="61" t="s">
        <v>725</v>
      </c>
      <c r="D664" s="148">
        <v>12.84</v>
      </c>
      <c r="E664" s="148">
        <v>12.84</v>
      </c>
      <c r="F664" s="148">
        <v>12.84</v>
      </c>
      <c r="G664" s="61" t="s">
        <v>889</v>
      </c>
    </row>
    <row r="665" spans="1:7" s="1" customFormat="1" ht="47.25">
      <c r="A665" s="51" t="s">
        <v>981</v>
      </c>
      <c r="B665" s="51" t="s">
        <v>980</v>
      </c>
      <c r="C665" s="61" t="s">
        <v>725</v>
      </c>
      <c r="D665" s="148">
        <f>49.32+583.93202</f>
        <v>633.25202000000002</v>
      </c>
      <c r="E665" s="148">
        <f>49.32+532.90394</f>
        <v>582.22394000000008</v>
      </c>
      <c r="F665" s="148">
        <f>49.32+532.90394</f>
        <v>582.22394000000008</v>
      </c>
      <c r="G665" s="61" t="s">
        <v>747</v>
      </c>
    </row>
    <row r="666" spans="1:7" s="1" customFormat="1" ht="47.25">
      <c r="A666" s="51" t="s">
        <v>979</v>
      </c>
      <c r="B666" s="51" t="s">
        <v>978</v>
      </c>
      <c r="C666" s="61" t="s">
        <v>725</v>
      </c>
      <c r="D666" s="148">
        <v>12.84</v>
      </c>
      <c r="E666" s="148">
        <v>12.84</v>
      </c>
      <c r="F666" s="148">
        <v>12.84</v>
      </c>
      <c r="G666" s="61" t="s">
        <v>747</v>
      </c>
    </row>
    <row r="667" spans="1:7" s="1" customFormat="1" ht="47.25">
      <c r="A667" s="51" t="s">
        <v>977</v>
      </c>
      <c r="B667" s="51" t="s">
        <v>976</v>
      </c>
      <c r="C667" s="61" t="s">
        <v>725</v>
      </c>
      <c r="D667" s="148">
        <v>9.4009999999999998</v>
      </c>
      <c r="E667" s="148">
        <v>9.4009999999999998</v>
      </c>
      <c r="F667" s="148">
        <v>9.4009999999999998</v>
      </c>
      <c r="G667" s="61" t="s">
        <v>747</v>
      </c>
    </row>
    <row r="668" spans="1:7" s="1" customFormat="1" ht="47.25">
      <c r="A668" s="51" t="s">
        <v>975</v>
      </c>
      <c r="B668" s="51" t="s">
        <v>974</v>
      </c>
      <c r="C668" s="61" t="s">
        <v>725</v>
      </c>
      <c r="D668" s="148">
        <v>9.6920000000000002</v>
      </c>
      <c r="E668" s="148">
        <v>9.6920000000000002</v>
      </c>
      <c r="F668" s="148">
        <v>9.6920000000000002</v>
      </c>
      <c r="G668" s="61" t="s">
        <v>889</v>
      </c>
    </row>
    <row r="669" spans="1:7" s="1" customFormat="1" ht="47.25">
      <c r="A669" s="51" t="s">
        <v>973</v>
      </c>
      <c r="B669" s="51" t="s">
        <v>972</v>
      </c>
      <c r="C669" s="61" t="s">
        <v>725</v>
      </c>
      <c r="D669" s="148">
        <v>9.7720000000000002</v>
      </c>
      <c r="E669" s="148">
        <v>9.7720000000000002</v>
      </c>
      <c r="F669" s="148">
        <v>9.7720000000000002</v>
      </c>
      <c r="G669" s="61" t="s">
        <v>971</v>
      </c>
    </row>
    <row r="670" spans="1:7" s="1" customFormat="1" ht="47.25">
      <c r="A670" s="51" t="s">
        <v>970</v>
      </c>
      <c r="B670" s="51" t="s">
        <v>969</v>
      </c>
      <c r="C670" s="61" t="s">
        <v>725</v>
      </c>
      <c r="D670" s="148">
        <v>9.5180000000000007</v>
      </c>
      <c r="E670" s="148">
        <v>9.5180000000000007</v>
      </c>
      <c r="F670" s="148">
        <v>9.5180000000000007</v>
      </c>
      <c r="G670" s="61" t="s">
        <v>747</v>
      </c>
    </row>
    <row r="671" spans="1:7" s="1" customFormat="1" ht="47.25">
      <c r="A671" s="51" t="s">
        <v>968</v>
      </c>
      <c r="B671" s="51" t="s">
        <v>967</v>
      </c>
      <c r="C671" s="61" t="s">
        <v>725</v>
      </c>
      <c r="D671" s="148">
        <v>11.363</v>
      </c>
      <c r="E671" s="148">
        <v>11.363</v>
      </c>
      <c r="F671" s="148">
        <v>11.363</v>
      </c>
      <c r="G671" s="61" t="s">
        <v>747</v>
      </c>
    </row>
    <row r="672" spans="1:7" s="1" customFormat="1" ht="47.25">
      <c r="A672" s="51" t="s">
        <v>966</v>
      </c>
      <c r="B672" s="51" t="s">
        <v>965</v>
      </c>
      <c r="C672" s="61" t="s">
        <v>725</v>
      </c>
      <c r="D672" s="148">
        <v>11.21</v>
      </c>
      <c r="E672" s="148">
        <v>11.21</v>
      </c>
      <c r="F672" s="148">
        <v>11.21</v>
      </c>
      <c r="G672" s="61" t="s">
        <v>747</v>
      </c>
    </row>
    <row r="673" spans="1:7" s="1" customFormat="1" ht="47.25">
      <c r="A673" s="51" t="s">
        <v>964</v>
      </c>
      <c r="B673" s="51" t="s">
        <v>963</v>
      </c>
      <c r="C673" s="61" t="s">
        <v>725</v>
      </c>
      <c r="D673" s="148">
        <v>15.58</v>
      </c>
      <c r="E673" s="148">
        <v>15.58</v>
      </c>
      <c r="F673" s="148">
        <v>15.58</v>
      </c>
      <c r="G673" s="61" t="s">
        <v>747</v>
      </c>
    </row>
    <row r="674" spans="1:7" s="1" customFormat="1" ht="47.25">
      <c r="A674" s="51" t="s">
        <v>962</v>
      </c>
      <c r="B674" s="51" t="s">
        <v>961</v>
      </c>
      <c r="C674" s="61" t="s">
        <v>725</v>
      </c>
      <c r="D674" s="148">
        <f>21.103+222.89806</f>
        <v>244.00106</v>
      </c>
      <c r="E674" s="148">
        <f>21.103+152.1718</f>
        <v>173.2748</v>
      </c>
      <c r="F674" s="148">
        <f>21.103+152.1718</f>
        <v>173.2748</v>
      </c>
      <c r="G674" s="61" t="s">
        <v>747</v>
      </c>
    </row>
    <row r="675" spans="1:7" s="1" customFormat="1" ht="47.25">
      <c r="A675" s="51" t="s">
        <v>960</v>
      </c>
      <c r="B675" s="51" t="s">
        <v>959</v>
      </c>
      <c r="C675" s="61" t="s">
        <v>725</v>
      </c>
      <c r="D675" s="148">
        <f>49.366+597.29828</f>
        <v>646.66427999999996</v>
      </c>
      <c r="E675" s="148">
        <f>49.366+541.70422</f>
        <v>591.07021999999995</v>
      </c>
      <c r="F675" s="148">
        <f>49.366+541.70422</f>
        <v>591.07021999999995</v>
      </c>
      <c r="G675" s="61" t="s">
        <v>747</v>
      </c>
    </row>
    <row r="676" spans="1:7" s="1" customFormat="1" ht="47.25">
      <c r="A676" s="51" t="s">
        <v>958</v>
      </c>
      <c r="B676" s="51" t="s">
        <v>957</v>
      </c>
      <c r="C676" s="61" t="s">
        <v>725</v>
      </c>
      <c r="D676" s="148">
        <f>37.345+402.72737</f>
        <v>440.07236999999998</v>
      </c>
      <c r="E676" s="148">
        <f>37.345+367.26686</f>
        <v>404.61185999999998</v>
      </c>
      <c r="F676" s="148">
        <f>37.345+367.26686</f>
        <v>404.61185999999998</v>
      </c>
      <c r="G676" s="61" t="s">
        <v>747</v>
      </c>
    </row>
    <row r="677" spans="1:7" s="1" customFormat="1" ht="47.25">
      <c r="A677" s="51" t="s">
        <v>956</v>
      </c>
      <c r="B677" s="51" t="s">
        <v>955</v>
      </c>
      <c r="C677" s="61" t="s">
        <v>725</v>
      </c>
      <c r="D677" s="148">
        <f>29.292+335.86651</f>
        <v>365.15850999999998</v>
      </c>
      <c r="E677" s="148">
        <f>29.292+316.17568</f>
        <v>345.46767999999997</v>
      </c>
      <c r="F677" s="148">
        <f>29.292+316.17568</f>
        <v>345.46767999999997</v>
      </c>
      <c r="G677" s="61" t="s">
        <v>889</v>
      </c>
    </row>
    <row r="678" spans="1:7" s="1" customFormat="1" ht="47.25">
      <c r="A678" s="51" t="s">
        <v>954</v>
      </c>
      <c r="B678" s="51" t="s">
        <v>953</v>
      </c>
      <c r="C678" s="61" t="s">
        <v>725</v>
      </c>
      <c r="D678" s="148">
        <f>43.31+495.56546</f>
        <v>538.87545999999998</v>
      </c>
      <c r="E678" s="148">
        <f>43.31+466.2923</f>
        <v>509.60230000000001</v>
      </c>
      <c r="F678" s="148">
        <f>43.31+466.2923</f>
        <v>509.60230000000001</v>
      </c>
      <c r="G678" s="61" t="s">
        <v>889</v>
      </c>
    </row>
    <row r="679" spans="1:7" s="1" customFormat="1" ht="47.25">
      <c r="A679" s="51" t="s">
        <v>952</v>
      </c>
      <c r="B679" s="51" t="s">
        <v>951</v>
      </c>
      <c r="C679" s="61" t="s">
        <v>725</v>
      </c>
      <c r="D679" s="148">
        <f>23.286+247.2407</f>
        <v>270.52670000000001</v>
      </c>
      <c r="E679" s="148">
        <f>23.286+232.18349</f>
        <v>255.46949000000001</v>
      </c>
      <c r="F679" s="148">
        <f>23.286+232.18349</f>
        <v>255.46949000000001</v>
      </c>
      <c r="G679" s="61" t="s">
        <v>889</v>
      </c>
    </row>
    <row r="680" spans="1:7" s="1" customFormat="1" ht="47.25">
      <c r="A680" s="51" t="s">
        <v>950</v>
      </c>
      <c r="B680" s="51" t="s">
        <v>949</v>
      </c>
      <c r="C680" s="61" t="s">
        <v>725</v>
      </c>
      <c r="D680" s="148">
        <f>7.09448+39.037+434.03536</f>
        <v>480.16684000000004</v>
      </c>
      <c r="E680" s="148">
        <f>39.037+413.98062</f>
        <v>453.01761999999997</v>
      </c>
      <c r="F680" s="148">
        <f>39.037+413.98062</f>
        <v>453.01761999999997</v>
      </c>
      <c r="G680" s="61" t="s">
        <v>889</v>
      </c>
    </row>
    <row r="681" spans="1:7" s="1" customFormat="1" ht="47.25">
      <c r="A681" s="135" t="s">
        <v>948</v>
      </c>
      <c r="B681" s="135" t="s">
        <v>947</v>
      </c>
      <c r="C681" s="61" t="s">
        <v>725</v>
      </c>
      <c r="D681" s="148">
        <f>30.606+330.4552</f>
        <v>361.06119999999999</v>
      </c>
      <c r="E681" s="148">
        <v>30.606000000000002</v>
      </c>
      <c r="F681" s="148">
        <v>30.606000000000002</v>
      </c>
      <c r="G681" s="61" t="s">
        <v>889</v>
      </c>
    </row>
    <row r="682" spans="1:7" s="1" customFormat="1" ht="47.25">
      <c r="A682" s="135" t="s">
        <v>946</v>
      </c>
      <c r="B682" s="135" t="s">
        <v>945</v>
      </c>
      <c r="C682" s="61" t="s">
        <v>725</v>
      </c>
      <c r="D682" s="148">
        <v>14.172000000000001</v>
      </c>
      <c r="E682" s="148">
        <v>14.172000000000001</v>
      </c>
      <c r="F682" s="148">
        <v>14.172000000000001</v>
      </c>
      <c r="G682" s="61" t="s">
        <v>889</v>
      </c>
    </row>
    <row r="683" spans="1:7" s="1" customFormat="1" ht="47.25">
      <c r="A683" s="135" t="s">
        <v>944</v>
      </c>
      <c r="B683" s="135" t="s">
        <v>943</v>
      </c>
      <c r="C683" s="61" t="s">
        <v>725</v>
      </c>
      <c r="D683" s="148">
        <f>23.842+247.08772</f>
        <v>270.92971999999997</v>
      </c>
      <c r="E683" s="148">
        <f>23.842+228.87798</f>
        <v>252.71998000000002</v>
      </c>
      <c r="F683" s="148">
        <f>23.842+228.87798</f>
        <v>252.71998000000002</v>
      </c>
      <c r="G683" s="61" t="s">
        <v>889</v>
      </c>
    </row>
    <row r="684" spans="1:7" s="1" customFormat="1" ht="47.25">
      <c r="A684" s="135" t="s">
        <v>942</v>
      </c>
      <c r="B684" s="135" t="s">
        <v>941</v>
      </c>
      <c r="C684" s="61" t="s">
        <v>725</v>
      </c>
      <c r="D684" s="148">
        <f>22.336+232.12692</f>
        <v>254.46292</v>
      </c>
      <c r="E684" s="148">
        <f>22.336+217.61383</f>
        <v>239.94983000000002</v>
      </c>
      <c r="F684" s="148">
        <f>22.336+217.61383</f>
        <v>239.94983000000002</v>
      </c>
      <c r="G684" s="61" t="s">
        <v>889</v>
      </c>
    </row>
    <row r="685" spans="1:7" s="1" customFormat="1" ht="47.25">
      <c r="A685" s="135" t="s">
        <v>940</v>
      </c>
      <c r="B685" s="135" t="s">
        <v>939</v>
      </c>
      <c r="C685" s="61" t="s">
        <v>725</v>
      </c>
      <c r="D685" s="148">
        <f>21.795+234.93296</f>
        <v>256.72796</v>
      </c>
      <c r="E685" s="148">
        <f>21.795+204.96352</f>
        <v>226.75851999999998</v>
      </c>
      <c r="F685" s="148">
        <f>21.795+204.96352</f>
        <v>226.75851999999998</v>
      </c>
      <c r="G685" s="61" t="s">
        <v>889</v>
      </c>
    </row>
    <row r="686" spans="1:7" s="1" customFormat="1" ht="47.25">
      <c r="A686" s="135" t="s">
        <v>938</v>
      </c>
      <c r="B686" s="135" t="s">
        <v>937</v>
      </c>
      <c r="C686" s="61" t="s">
        <v>725</v>
      </c>
      <c r="D686" s="148">
        <f>10.285+123.0963</f>
        <v>133.38130000000001</v>
      </c>
      <c r="E686" s="148">
        <f>10.285+107.5812</f>
        <v>117.86619999999999</v>
      </c>
      <c r="F686" s="148">
        <f>10.285+107.5812</f>
        <v>117.86619999999999</v>
      </c>
      <c r="G686" s="61" t="s">
        <v>889</v>
      </c>
    </row>
    <row r="687" spans="1:7" s="1" customFormat="1" ht="47.25">
      <c r="A687" s="135" t="s">
        <v>936</v>
      </c>
      <c r="B687" s="135" t="s">
        <v>935</v>
      </c>
      <c r="C687" s="61" t="s">
        <v>725</v>
      </c>
      <c r="D687" s="148">
        <f>20.687+213.5694</f>
        <v>234.25640000000001</v>
      </c>
      <c r="E687" s="148">
        <f>20.687+198.26212</f>
        <v>218.94912000000002</v>
      </c>
      <c r="F687" s="148">
        <f>20.687+198.26212</f>
        <v>218.94912000000002</v>
      </c>
      <c r="G687" s="61" t="s">
        <v>889</v>
      </c>
    </row>
    <row r="688" spans="1:7" s="1" customFormat="1" ht="47.25">
      <c r="A688" s="135" t="s">
        <v>934</v>
      </c>
      <c r="B688" s="135" t="s">
        <v>933</v>
      </c>
      <c r="C688" s="61" t="s">
        <v>725</v>
      </c>
      <c r="D688" s="148">
        <f>46.472+534.86028</f>
        <v>581.33227999999997</v>
      </c>
      <c r="E688" s="148">
        <f>46.472+495.093</f>
        <v>541.56500000000005</v>
      </c>
      <c r="F688" s="148">
        <f>46.472+495.093</f>
        <v>541.56500000000005</v>
      </c>
      <c r="G688" s="61" t="s">
        <v>889</v>
      </c>
    </row>
    <row r="689" spans="1:7" s="1" customFormat="1" ht="47.25">
      <c r="A689" s="135" t="s">
        <v>932</v>
      </c>
      <c r="B689" s="135" t="s">
        <v>931</v>
      </c>
      <c r="C689" s="61" t="s">
        <v>725</v>
      </c>
      <c r="D689" s="148">
        <v>12.675000000000001</v>
      </c>
      <c r="E689" s="148">
        <v>12.675000000000001</v>
      </c>
      <c r="F689" s="148">
        <v>12.675000000000001</v>
      </c>
      <c r="G689" s="61" t="s">
        <v>889</v>
      </c>
    </row>
    <row r="690" spans="1:7" s="1" customFormat="1" ht="47.25">
      <c r="A690" s="135" t="s">
        <v>930</v>
      </c>
      <c r="B690" s="135" t="s">
        <v>929</v>
      </c>
      <c r="C690" s="61" t="s">
        <v>725</v>
      </c>
      <c r="D690" s="148">
        <v>7.9770000000000003</v>
      </c>
      <c r="E690" s="148">
        <v>7.9770000000000003</v>
      </c>
      <c r="F690" s="148">
        <v>7.9770000000000003</v>
      </c>
      <c r="G690" s="61" t="s">
        <v>928</v>
      </c>
    </row>
    <row r="691" spans="1:7" s="1" customFormat="1" ht="47.25">
      <c r="A691" s="135" t="s">
        <v>927</v>
      </c>
      <c r="B691" s="135" t="s">
        <v>926</v>
      </c>
      <c r="C691" s="61" t="s">
        <v>725</v>
      </c>
      <c r="D691" s="148">
        <f>48.487+546.66268</f>
        <v>595.14967999999999</v>
      </c>
      <c r="E691" s="148">
        <f>48.487+518.83541</f>
        <v>567.32240999999999</v>
      </c>
      <c r="F691" s="148">
        <f>48.487+518.83541</f>
        <v>567.32240999999999</v>
      </c>
      <c r="G691" s="61" t="s">
        <v>889</v>
      </c>
    </row>
    <row r="692" spans="1:7" s="1" customFormat="1" ht="47.25">
      <c r="A692" s="135" t="s">
        <v>925</v>
      </c>
      <c r="B692" s="135" t="s">
        <v>924</v>
      </c>
      <c r="C692" s="61" t="s">
        <v>725</v>
      </c>
      <c r="D692" s="148">
        <f>32.908+354.39618</f>
        <v>387.30418000000003</v>
      </c>
      <c r="E692" s="148">
        <f>32.908+332.01262</f>
        <v>364.92062000000004</v>
      </c>
      <c r="F692" s="148">
        <f>32.908+332.01262</f>
        <v>364.92062000000004</v>
      </c>
      <c r="G692" s="61" t="s">
        <v>738</v>
      </c>
    </row>
    <row r="693" spans="1:7" s="1" customFormat="1" ht="47.25">
      <c r="A693" s="135" t="s">
        <v>923</v>
      </c>
      <c r="B693" s="135" t="s">
        <v>922</v>
      </c>
      <c r="C693" s="61" t="s">
        <v>725</v>
      </c>
      <c r="D693" s="148">
        <f>20.18+211.05922</f>
        <v>231.23922000000002</v>
      </c>
      <c r="E693" s="148">
        <f>20.18+184.435</f>
        <v>204.61500000000001</v>
      </c>
      <c r="F693" s="148">
        <f>20.18+184.435</f>
        <v>204.61500000000001</v>
      </c>
      <c r="G693" s="61" t="s">
        <v>738</v>
      </c>
    </row>
    <row r="694" spans="1:7" s="1" customFormat="1" ht="47.25">
      <c r="A694" s="135" t="s">
        <v>921</v>
      </c>
      <c r="B694" s="135" t="s">
        <v>920</v>
      </c>
      <c r="C694" s="61" t="s">
        <v>725</v>
      </c>
      <c r="D694" s="148">
        <f>31.757+354.59476</f>
        <v>386.35176000000001</v>
      </c>
      <c r="E694" s="148">
        <v>31.757000000000001</v>
      </c>
      <c r="F694" s="148">
        <v>31.757000000000001</v>
      </c>
      <c r="G694" s="61" t="s">
        <v>889</v>
      </c>
    </row>
    <row r="695" spans="1:7" s="1" customFormat="1" ht="47.25">
      <c r="A695" s="135" t="s">
        <v>919</v>
      </c>
      <c r="B695" s="135" t="s">
        <v>918</v>
      </c>
      <c r="C695" s="61" t="s">
        <v>725</v>
      </c>
      <c r="D695" s="148">
        <v>32.384</v>
      </c>
      <c r="E695" s="148">
        <v>32.384</v>
      </c>
      <c r="F695" s="148">
        <v>32.384</v>
      </c>
      <c r="G695" s="61" t="s">
        <v>889</v>
      </c>
    </row>
    <row r="696" spans="1:7" s="1" customFormat="1" ht="47.25">
      <c r="A696" s="135" t="s">
        <v>917</v>
      </c>
      <c r="B696" s="135" t="s">
        <v>916</v>
      </c>
      <c r="C696" s="61" t="s">
        <v>725</v>
      </c>
      <c r="D696" s="148">
        <f>15.344+183.61602</f>
        <v>198.96001999999999</v>
      </c>
      <c r="E696" s="148">
        <f>15.344+163.22053</f>
        <v>178.56452999999999</v>
      </c>
      <c r="F696" s="148">
        <f>15.344+163.22053</f>
        <v>178.56452999999999</v>
      </c>
      <c r="G696" s="61" t="s">
        <v>889</v>
      </c>
    </row>
    <row r="697" spans="1:7" s="1" customFormat="1" ht="47.25">
      <c r="A697" s="135" t="s">
        <v>915</v>
      </c>
      <c r="B697" s="135" t="s">
        <v>914</v>
      </c>
      <c r="C697" s="61" t="s">
        <v>725</v>
      </c>
      <c r="D697" s="148">
        <f>8.515+105.51611</f>
        <v>114.03111</v>
      </c>
      <c r="E697" s="148">
        <f>8.515+93.41443</f>
        <v>101.92943</v>
      </c>
      <c r="F697" s="148">
        <f>8.515+93.41443</f>
        <v>101.92943</v>
      </c>
      <c r="G697" s="61" t="s">
        <v>889</v>
      </c>
    </row>
    <row r="698" spans="1:7" s="1" customFormat="1" ht="47.25">
      <c r="A698" s="135" t="s">
        <v>913</v>
      </c>
      <c r="B698" s="135" t="s">
        <v>912</v>
      </c>
      <c r="C698" s="61" t="s">
        <v>725</v>
      </c>
      <c r="D698" s="148">
        <f>19.682+206.38662</f>
        <v>226.06861999999998</v>
      </c>
      <c r="E698" s="148">
        <f>19.682+182.7915</f>
        <v>202.4735</v>
      </c>
      <c r="F698" s="148">
        <f>19.682+182.7915</f>
        <v>202.4735</v>
      </c>
      <c r="G698" s="61" t="s">
        <v>889</v>
      </c>
    </row>
    <row r="699" spans="1:7" s="1" customFormat="1" ht="47.25">
      <c r="A699" s="135" t="s">
        <v>911</v>
      </c>
      <c r="B699" s="135" t="s">
        <v>910</v>
      </c>
      <c r="C699" s="61" t="s">
        <v>725</v>
      </c>
      <c r="D699" s="148">
        <f>23.541+249.17569</f>
        <v>272.71669000000003</v>
      </c>
      <c r="E699" s="148">
        <f>23.541+219.90886</f>
        <v>243.44986</v>
      </c>
      <c r="F699" s="148">
        <f>23.541+219.90886</f>
        <v>243.44986</v>
      </c>
      <c r="G699" s="61" t="s">
        <v>889</v>
      </c>
    </row>
    <row r="700" spans="1:7" s="1" customFormat="1" ht="47.25">
      <c r="A700" s="135" t="s">
        <v>909</v>
      </c>
      <c r="B700" s="135" t="s">
        <v>908</v>
      </c>
      <c r="C700" s="61" t="s">
        <v>725</v>
      </c>
      <c r="D700" s="148">
        <v>6.9189999999999996</v>
      </c>
      <c r="E700" s="148">
        <v>6.9189999999999996</v>
      </c>
      <c r="F700" s="148">
        <v>6.9189999999999996</v>
      </c>
      <c r="G700" s="61" t="s">
        <v>889</v>
      </c>
    </row>
    <row r="701" spans="1:7" s="1" customFormat="1" ht="47.25">
      <c r="A701" s="135" t="s">
        <v>907</v>
      </c>
      <c r="B701" s="135" t="s">
        <v>906</v>
      </c>
      <c r="C701" s="61" t="s">
        <v>725</v>
      </c>
      <c r="D701" s="148">
        <v>7.09</v>
      </c>
      <c r="E701" s="148">
        <v>7.09</v>
      </c>
      <c r="F701" s="148">
        <v>7.09</v>
      </c>
      <c r="G701" s="61" t="s">
        <v>889</v>
      </c>
    </row>
    <row r="702" spans="1:7" s="1" customFormat="1" ht="47.25">
      <c r="A702" s="135" t="s">
        <v>905</v>
      </c>
      <c r="B702" s="135" t="s">
        <v>904</v>
      </c>
      <c r="C702" s="61" t="s">
        <v>725</v>
      </c>
      <c r="D702" s="148">
        <v>5.6289999999999996</v>
      </c>
      <c r="E702" s="148">
        <v>5.6289999999999996</v>
      </c>
      <c r="F702" s="148">
        <v>5.6289999999999996</v>
      </c>
      <c r="G702" s="61" t="s">
        <v>889</v>
      </c>
    </row>
    <row r="703" spans="1:7" s="1" customFormat="1" ht="47.25">
      <c r="A703" s="135" t="s">
        <v>903</v>
      </c>
      <c r="B703" s="135" t="s">
        <v>902</v>
      </c>
      <c r="C703" s="61" t="s">
        <v>725</v>
      </c>
      <c r="D703" s="148">
        <v>5.6289999999999996</v>
      </c>
      <c r="E703" s="148">
        <v>5.6289999999999996</v>
      </c>
      <c r="F703" s="148">
        <v>5.6289999999999996</v>
      </c>
      <c r="G703" s="61" t="s">
        <v>738</v>
      </c>
    </row>
    <row r="704" spans="1:7" s="1" customFormat="1" ht="47.25">
      <c r="A704" s="135" t="s">
        <v>901</v>
      </c>
      <c r="B704" s="135" t="s">
        <v>900</v>
      </c>
      <c r="C704" s="61" t="s">
        <v>725</v>
      </c>
      <c r="D704" s="148">
        <v>11.412000000000001</v>
      </c>
      <c r="E704" s="148">
        <v>11.412000000000001</v>
      </c>
      <c r="F704" s="148">
        <v>11.412000000000001</v>
      </c>
      <c r="G704" s="61" t="s">
        <v>738</v>
      </c>
    </row>
    <row r="705" spans="1:7" s="1" customFormat="1" ht="47.25">
      <c r="A705" s="135" t="s">
        <v>899</v>
      </c>
      <c r="B705" s="135" t="s">
        <v>898</v>
      </c>
      <c r="C705" s="61" t="s">
        <v>725</v>
      </c>
      <c r="D705" s="148">
        <f>46.86+586.25616</f>
        <v>633.11616000000004</v>
      </c>
      <c r="E705" s="148">
        <f>46.86+503.93336</f>
        <v>550.79336000000001</v>
      </c>
      <c r="F705" s="148">
        <f>46.86+503.93336</f>
        <v>550.79336000000001</v>
      </c>
      <c r="G705" s="61" t="s">
        <v>738</v>
      </c>
    </row>
    <row r="706" spans="1:7" s="1" customFormat="1" ht="47.25">
      <c r="A706" s="135" t="s">
        <v>897</v>
      </c>
      <c r="B706" s="135" t="s">
        <v>896</v>
      </c>
      <c r="C706" s="61" t="s">
        <v>725</v>
      </c>
      <c r="D706" s="148">
        <v>36.92</v>
      </c>
      <c r="E706" s="148">
        <v>36.92</v>
      </c>
      <c r="F706" s="148">
        <v>36.92</v>
      </c>
      <c r="G706" s="61" t="s">
        <v>738</v>
      </c>
    </row>
    <row r="707" spans="1:7" s="1" customFormat="1" ht="47.25">
      <c r="A707" s="135" t="s">
        <v>895</v>
      </c>
      <c r="B707" s="135" t="s">
        <v>894</v>
      </c>
      <c r="C707" s="61" t="s">
        <v>725</v>
      </c>
      <c r="D707" s="148">
        <v>5.7249999999999996</v>
      </c>
      <c r="E707" s="148">
        <v>5.7249999999999996</v>
      </c>
      <c r="F707" s="148">
        <v>5.7249999999999996</v>
      </c>
      <c r="G707" s="61" t="s">
        <v>889</v>
      </c>
    </row>
    <row r="708" spans="1:7" s="1" customFormat="1" ht="47.25">
      <c r="A708" s="135" t="s">
        <v>893</v>
      </c>
      <c r="B708" s="135" t="s">
        <v>892</v>
      </c>
      <c r="C708" s="61" t="s">
        <v>725</v>
      </c>
      <c r="D708" s="148">
        <v>8.0690000000000008</v>
      </c>
      <c r="E708" s="148">
        <v>8.0690000000000008</v>
      </c>
      <c r="F708" s="148">
        <v>8.0690000000000008</v>
      </c>
      <c r="G708" s="61" t="s">
        <v>889</v>
      </c>
    </row>
    <row r="709" spans="1:7" s="1" customFormat="1" ht="47.25">
      <c r="A709" s="135" t="s">
        <v>891</v>
      </c>
      <c r="B709" s="135" t="s">
        <v>890</v>
      </c>
      <c r="C709" s="61" t="s">
        <v>725</v>
      </c>
      <c r="D709" s="148">
        <v>6.2140000000000004</v>
      </c>
      <c r="E709" s="148">
        <v>6.2140000000000004</v>
      </c>
      <c r="F709" s="148">
        <v>6.2140000000000004</v>
      </c>
      <c r="G709" s="61" t="s">
        <v>889</v>
      </c>
    </row>
    <row r="710" spans="1:7" s="1" customFormat="1" ht="47.25">
      <c r="A710" s="135" t="s">
        <v>888</v>
      </c>
      <c r="B710" s="135" t="s">
        <v>887</v>
      </c>
      <c r="C710" s="61" t="s">
        <v>725</v>
      </c>
      <c r="D710" s="148">
        <v>26.265999999999998</v>
      </c>
      <c r="E710" s="148">
        <v>26.265999999999998</v>
      </c>
      <c r="F710" s="148">
        <v>26.265999999999998</v>
      </c>
      <c r="G710" s="61" t="s">
        <v>738</v>
      </c>
    </row>
    <row r="711" spans="1:7" s="1" customFormat="1" ht="47.25">
      <c r="A711" s="135" t="s">
        <v>886</v>
      </c>
      <c r="B711" s="135" t="s">
        <v>885</v>
      </c>
      <c r="C711" s="61" t="s">
        <v>725</v>
      </c>
      <c r="D711" s="148">
        <v>12.557</v>
      </c>
      <c r="E711" s="148">
        <v>12.557</v>
      </c>
      <c r="F711" s="148">
        <v>12.557</v>
      </c>
      <c r="G711" s="61" t="s">
        <v>738</v>
      </c>
    </row>
    <row r="712" spans="1:7" s="1" customFormat="1" ht="47.25">
      <c r="A712" s="135" t="s">
        <v>884</v>
      </c>
      <c r="B712" s="135" t="s">
        <v>883</v>
      </c>
      <c r="C712" s="61" t="s">
        <v>725</v>
      </c>
      <c r="D712" s="148">
        <v>12.462</v>
      </c>
      <c r="E712" s="148">
        <v>12.462</v>
      </c>
      <c r="F712" s="148">
        <v>12.462</v>
      </c>
      <c r="G712" s="61" t="s">
        <v>738</v>
      </c>
    </row>
    <row r="713" spans="1:7" s="1" customFormat="1" ht="47.25">
      <c r="A713" s="135" t="s">
        <v>882</v>
      </c>
      <c r="B713" s="135" t="s">
        <v>881</v>
      </c>
      <c r="C713" s="61" t="s">
        <v>725</v>
      </c>
      <c r="D713" s="148">
        <v>9.4610000000000003</v>
      </c>
      <c r="E713" s="148">
        <v>9.4610000000000003</v>
      </c>
      <c r="F713" s="148">
        <v>9.4610000000000003</v>
      </c>
      <c r="G713" s="61" t="s">
        <v>738</v>
      </c>
    </row>
    <row r="714" spans="1:7" s="1" customFormat="1" ht="47.25">
      <c r="A714" s="135" t="s">
        <v>880</v>
      </c>
      <c r="B714" s="135" t="s">
        <v>879</v>
      </c>
      <c r="C714" s="61" t="s">
        <v>725</v>
      </c>
      <c r="D714" s="148">
        <v>10.569000000000001</v>
      </c>
      <c r="E714" s="148">
        <v>10.569000000000001</v>
      </c>
      <c r="F714" s="148">
        <v>10.569000000000001</v>
      </c>
      <c r="G714" s="61" t="s">
        <v>738</v>
      </c>
    </row>
    <row r="715" spans="1:7" s="1" customFormat="1" ht="47.25">
      <c r="A715" s="135" t="s">
        <v>878</v>
      </c>
      <c r="B715" s="135" t="s">
        <v>877</v>
      </c>
      <c r="C715" s="61" t="s">
        <v>725</v>
      </c>
      <c r="D715" s="148">
        <v>11.16</v>
      </c>
      <c r="E715" s="148">
        <v>11.16</v>
      </c>
      <c r="F715" s="148">
        <v>11.16</v>
      </c>
      <c r="G715" s="61" t="s">
        <v>738</v>
      </c>
    </row>
    <row r="716" spans="1:7" s="1" customFormat="1" ht="47.25">
      <c r="A716" s="135" t="s">
        <v>876</v>
      </c>
      <c r="B716" s="135" t="s">
        <v>875</v>
      </c>
      <c r="C716" s="61" t="s">
        <v>725</v>
      </c>
      <c r="D716" s="148">
        <v>11.124000000000001</v>
      </c>
      <c r="E716" s="148">
        <v>11.124000000000001</v>
      </c>
      <c r="F716" s="148">
        <v>11.124000000000001</v>
      </c>
      <c r="G716" s="61" t="s">
        <v>738</v>
      </c>
    </row>
    <row r="717" spans="1:7" s="1" customFormat="1" ht="47.25">
      <c r="A717" s="135" t="s">
        <v>874</v>
      </c>
      <c r="B717" s="135" t="s">
        <v>873</v>
      </c>
      <c r="C717" s="61" t="s">
        <v>725</v>
      </c>
      <c r="D717" s="148">
        <v>5.66</v>
      </c>
      <c r="E717" s="148">
        <v>5.66</v>
      </c>
      <c r="F717" s="148">
        <v>5.66</v>
      </c>
      <c r="G717" s="61" t="s">
        <v>738</v>
      </c>
    </row>
    <row r="718" spans="1:7" s="1" customFormat="1" ht="47.25">
      <c r="A718" s="135" t="s">
        <v>872</v>
      </c>
      <c r="B718" s="135" t="s">
        <v>871</v>
      </c>
      <c r="C718" s="61" t="s">
        <v>725</v>
      </c>
      <c r="D718" s="148">
        <v>10.64</v>
      </c>
      <c r="E718" s="148">
        <v>10.64</v>
      </c>
      <c r="F718" s="148">
        <v>10.64</v>
      </c>
      <c r="G718" s="61" t="s">
        <v>738</v>
      </c>
    </row>
    <row r="719" spans="1:7" s="1" customFormat="1" ht="47.25">
      <c r="A719" s="135" t="s">
        <v>870</v>
      </c>
      <c r="B719" s="135" t="s">
        <v>869</v>
      </c>
      <c r="C719" s="61" t="s">
        <v>725</v>
      </c>
      <c r="D719" s="148">
        <v>16.263999999999999</v>
      </c>
      <c r="E719" s="148">
        <v>16.263999999999999</v>
      </c>
      <c r="F719" s="148">
        <v>16.263999999999999</v>
      </c>
      <c r="G719" s="61" t="s">
        <v>738</v>
      </c>
    </row>
    <row r="720" spans="1:7" s="1" customFormat="1" ht="47.25">
      <c r="A720" s="135" t="s">
        <v>868</v>
      </c>
      <c r="B720" s="135" t="s">
        <v>867</v>
      </c>
      <c r="C720" s="61" t="s">
        <v>725</v>
      </c>
      <c r="D720" s="148">
        <v>12.787000000000001</v>
      </c>
      <c r="E720" s="148">
        <v>12.787000000000001</v>
      </c>
      <c r="F720" s="148">
        <v>12.787000000000001</v>
      </c>
      <c r="G720" s="61" t="s">
        <v>738</v>
      </c>
    </row>
    <row r="721" spans="1:7" s="1" customFormat="1" ht="47.25">
      <c r="A721" s="135" t="s">
        <v>866</v>
      </c>
      <c r="B721" s="135" t="s">
        <v>865</v>
      </c>
      <c r="C721" s="61" t="s">
        <v>725</v>
      </c>
      <c r="D721" s="148">
        <v>9.4610000000000003</v>
      </c>
      <c r="E721" s="148">
        <v>9.4610000000000003</v>
      </c>
      <c r="F721" s="148">
        <v>9.4610000000000003</v>
      </c>
      <c r="G721" s="61" t="s">
        <v>738</v>
      </c>
    </row>
    <row r="722" spans="1:7" s="1" customFormat="1" ht="47.25">
      <c r="A722" s="135" t="s">
        <v>864</v>
      </c>
      <c r="B722" s="135" t="s">
        <v>863</v>
      </c>
      <c r="C722" s="61" t="s">
        <v>725</v>
      </c>
      <c r="D722" s="148">
        <v>10.711</v>
      </c>
      <c r="E722" s="148">
        <v>10.711</v>
      </c>
      <c r="F722" s="148">
        <v>10.711</v>
      </c>
      <c r="G722" s="61" t="s">
        <v>738</v>
      </c>
    </row>
    <row r="723" spans="1:7" s="1" customFormat="1" ht="47.25">
      <c r="A723" s="135" t="s">
        <v>862</v>
      </c>
      <c r="B723" s="135" t="s">
        <v>861</v>
      </c>
      <c r="C723" s="61" t="s">
        <v>725</v>
      </c>
      <c r="D723" s="148">
        <v>9.4610000000000003</v>
      </c>
      <c r="E723" s="148">
        <v>9.4610000000000003</v>
      </c>
      <c r="F723" s="148">
        <v>9.4610000000000003</v>
      </c>
      <c r="G723" s="61" t="s">
        <v>738</v>
      </c>
    </row>
    <row r="724" spans="1:7" s="1" customFormat="1" ht="47.25">
      <c r="A724" s="135" t="s">
        <v>860</v>
      </c>
      <c r="B724" s="135" t="s">
        <v>859</v>
      </c>
      <c r="C724" s="61" t="s">
        <v>725</v>
      </c>
      <c r="D724" s="148">
        <v>9.2469999999999999</v>
      </c>
      <c r="E724" s="148">
        <v>9.2469999999999999</v>
      </c>
      <c r="F724" s="148">
        <v>9.2469999999999999</v>
      </c>
      <c r="G724" s="61" t="s">
        <v>738</v>
      </c>
    </row>
    <row r="725" spans="1:7" s="1" customFormat="1" ht="47.25">
      <c r="A725" s="135" t="s">
        <v>858</v>
      </c>
      <c r="B725" s="135" t="s">
        <v>857</v>
      </c>
      <c r="C725" s="61" t="s">
        <v>725</v>
      </c>
      <c r="D725" s="148">
        <v>9.4610000000000003</v>
      </c>
      <c r="E725" s="148">
        <v>9.4610000000000003</v>
      </c>
      <c r="F725" s="148">
        <v>9.4610000000000003</v>
      </c>
      <c r="G725" s="61" t="s">
        <v>738</v>
      </c>
    </row>
    <row r="726" spans="1:7" s="1" customFormat="1" ht="47.25">
      <c r="A726" s="135" t="s">
        <v>856</v>
      </c>
      <c r="B726" s="135" t="s">
        <v>855</v>
      </c>
      <c r="C726" s="61" t="s">
        <v>725</v>
      </c>
      <c r="D726" s="148">
        <v>24.001000000000001</v>
      </c>
      <c r="E726" s="148">
        <v>24.001000000000001</v>
      </c>
      <c r="F726" s="148">
        <v>24.001000000000001</v>
      </c>
      <c r="G726" s="61" t="s">
        <v>738</v>
      </c>
    </row>
    <row r="727" spans="1:7" s="1" customFormat="1" ht="47.25">
      <c r="A727" s="135" t="s">
        <v>854</v>
      </c>
      <c r="B727" s="135" t="s">
        <v>853</v>
      </c>
      <c r="C727" s="61" t="s">
        <v>725</v>
      </c>
      <c r="D727" s="148">
        <f>21.20737+301.19543+4.91146</f>
        <v>327.31425999999999</v>
      </c>
      <c r="E727" s="148">
        <f>21.20737+282.01637</f>
        <v>303.22374000000002</v>
      </c>
      <c r="F727" s="148">
        <f>21.20737+282.01637</f>
        <v>303.22374000000002</v>
      </c>
      <c r="G727" s="61" t="s">
        <v>738</v>
      </c>
    </row>
    <row r="728" spans="1:7" s="1" customFormat="1" ht="47.25">
      <c r="A728" s="135" t="s">
        <v>852</v>
      </c>
      <c r="B728" s="135" t="s">
        <v>851</v>
      </c>
      <c r="C728" s="61" t="s">
        <v>725</v>
      </c>
      <c r="D728" s="148">
        <v>12.787000000000001</v>
      </c>
      <c r="E728" s="148">
        <v>12.787000000000001</v>
      </c>
      <c r="F728" s="148">
        <v>12.787000000000001</v>
      </c>
      <c r="G728" s="61" t="s">
        <v>738</v>
      </c>
    </row>
    <row r="729" spans="1:7" s="1" customFormat="1" ht="47.25">
      <c r="A729" s="135" t="s">
        <v>850</v>
      </c>
      <c r="B729" s="135" t="s">
        <v>849</v>
      </c>
      <c r="C729" s="61" t="s">
        <v>725</v>
      </c>
      <c r="D729" s="148">
        <v>9.2479999999999993</v>
      </c>
      <c r="E729" s="148">
        <v>9.2479999999999993</v>
      </c>
      <c r="F729" s="148">
        <v>9.2479999999999993</v>
      </c>
      <c r="G729" s="61" t="s">
        <v>738</v>
      </c>
    </row>
    <row r="730" spans="1:7" s="1" customFormat="1" ht="47.25">
      <c r="A730" s="135" t="s">
        <v>848</v>
      </c>
      <c r="B730" s="135" t="s">
        <v>847</v>
      </c>
      <c r="C730" s="61" t="s">
        <v>725</v>
      </c>
      <c r="D730" s="148">
        <v>12.84</v>
      </c>
      <c r="E730" s="148">
        <v>12.84</v>
      </c>
      <c r="F730" s="148">
        <v>12.84</v>
      </c>
      <c r="G730" s="61" t="s">
        <v>724</v>
      </c>
    </row>
    <row r="731" spans="1:7" s="1" customFormat="1" ht="47.25">
      <c r="A731" s="135" t="s">
        <v>846</v>
      </c>
      <c r="B731" s="135" t="s">
        <v>845</v>
      </c>
      <c r="C731" s="61" t="s">
        <v>725</v>
      </c>
      <c r="D731" s="148">
        <v>12.84</v>
      </c>
      <c r="E731" s="148">
        <v>12.84</v>
      </c>
      <c r="F731" s="148">
        <v>12.84</v>
      </c>
      <c r="G731" s="61" t="s">
        <v>738</v>
      </c>
    </row>
    <row r="732" spans="1:7" s="1" customFormat="1" ht="47.25">
      <c r="A732" s="135" t="s">
        <v>844</v>
      </c>
      <c r="B732" s="135" t="s">
        <v>843</v>
      </c>
      <c r="C732" s="61" t="s">
        <v>725</v>
      </c>
      <c r="D732" s="148">
        <f>27.65579+209.55752+3.41503</f>
        <v>240.62834000000001</v>
      </c>
      <c r="E732" s="148">
        <f>27.65579+195.2105</f>
        <v>222.86628999999999</v>
      </c>
      <c r="F732" s="148">
        <f>27.65579+195.2105</f>
        <v>222.86628999999999</v>
      </c>
      <c r="G732" s="61" t="s">
        <v>738</v>
      </c>
    </row>
    <row r="733" spans="1:7" s="1" customFormat="1" ht="47.25">
      <c r="A733" s="135" t="s">
        <v>842</v>
      </c>
      <c r="B733" s="135" t="s">
        <v>841</v>
      </c>
      <c r="C733" s="61" t="s">
        <v>725</v>
      </c>
      <c r="D733" s="148">
        <f>22.21789+226.07164+3.68297</f>
        <v>251.97250000000003</v>
      </c>
      <c r="E733" s="148">
        <f>22.21789+209.27611</f>
        <v>231.494</v>
      </c>
      <c r="F733" s="148">
        <f>22.21789+209.27611</f>
        <v>231.494</v>
      </c>
      <c r="G733" s="61" t="s">
        <v>738</v>
      </c>
    </row>
    <row r="734" spans="1:7" s="1" customFormat="1" ht="47.25">
      <c r="A734" s="135" t="s">
        <v>840</v>
      </c>
      <c r="B734" s="135" t="s">
        <v>839</v>
      </c>
      <c r="C734" s="61" t="s">
        <v>725</v>
      </c>
      <c r="D734" s="148">
        <f>22.21789+202.22846+3.29918</f>
        <v>227.74553000000003</v>
      </c>
      <c r="E734" s="148">
        <f>22.21789+190.0231</f>
        <v>212.24099000000001</v>
      </c>
      <c r="F734" s="148">
        <f>22.21789+190.0231</f>
        <v>212.24099000000001</v>
      </c>
      <c r="G734" s="61" t="s">
        <v>738</v>
      </c>
    </row>
    <row r="735" spans="1:7" s="1" customFormat="1" ht="47.25">
      <c r="A735" s="135" t="s">
        <v>838</v>
      </c>
      <c r="B735" s="135" t="s">
        <v>837</v>
      </c>
      <c r="C735" s="61" t="s">
        <v>725</v>
      </c>
      <c r="D735" s="148">
        <v>9.4610000000000003</v>
      </c>
      <c r="E735" s="148">
        <v>9.4610000000000003</v>
      </c>
      <c r="F735" s="148">
        <v>9.4610000000000003</v>
      </c>
      <c r="G735" s="61" t="s">
        <v>724</v>
      </c>
    </row>
    <row r="736" spans="1:7" s="1" customFormat="1" ht="47.25">
      <c r="A736" s="135" t="s">
        <v>836</v>
      </c>
      <c r="B736" s="135" t="s">
        <v>835</v>
      </c>
      <c r="C736" s="61" t="s">
        <v>725</v>
      </c>
      <c r="D736" s="148">
        <v>11.041</v>
      </c>
      <c r="E736" s="148">
        <v>11.041</v>
      </c>
      <c r="F736" s="148">
        <v>11.041</v>
      </c>
      <c r="G736" s="61" t="s">
        <v>724</v>
      </c>
    </row>
    <row r="737" spans="1:7" s="1" customFormat="1" ht="47.25">
      <c r="A737" s="135" t="s">
        <v>834</v>
      </c>
      <c r="B737" s="135" t="s">
        <v>833</v>
      </c>
      <c r="C737" s="61" t="s">
        <v>725</v>
      </c>
      <c r="D737" s="148">
        <v>22.344999999999999</v>
      </c>
      <c r="E737" s="148">
        <v>22.344999999999999</v>
      </c>
      <c r="F737" s="148">
        <v>22.344999999999999</v>
      </c>
      <c r="G737" s="61" t="s">
        <v>724</v>
      </c>
    </row>
    <row r="738" spans="1:7" s="1" customFormat="1" ht="47.25">
      <c r="A738" s="135" t="s">
        <v>832</v>
      </c>
      <c r="B738" s="135" t="s">
        <v>831</v>
      </c>
      <c r="C738" s="61" t="s">
        <v>725</v>
      </c>
      <c r="D738" s="148">
        <v>9.2469999999999999</v>
      </c>
      <c r="E738" s="148">
        <v>9.2469999999999999</v>
      </c>
      <c r="F738" s="148">
        <v>9.2469999999999999</v>
      </c>
      <c r="G738" s="61" t="s">
        <v>738</v>
      </c>
    </row>
    <row r="739" spans="1:7" s="1" customFormat="1" ht="47.25">
      <c r="A739" s="135" t="s">
        <v>830</v>
      </c>
      <c r="B739" s="135" t="s">
        <v>829</v>
      </c>
      <c r="C739" s="61" t="s">
        <v>725</v>
      </c>
      <c r="D739" s="148">
        <f>9.7+105.28102</f>
        <v>114.98102</v>
      </c>
      <c r="E739" s="148">
        <f>9.7+105.28102</f>
        <v>114.98102</v>
      </c>
      <c r="F739" s="148">
        <f>9.7+95.79866</f>
        <v>105.49866</v>
      </c>
      <c r="G739" s="61" t="s">
        <v>738</v>
      </c>
    </row>
    <row r="740" spans="1:7" s="1" customFormat="1" ht="47.25">
      <c r="A740" s="135" t="s">
        <v>828</v>
      </c>
      <c r="B740" s="135" t="s">
        <v>827</v>
      </c>
      <c r="C740" s="61" t="s">
        <v>725</v>
      </c>
      <c r="D740" s="148">
        <v>10.727</v>
      </c>
      <c r="E740" s="148">
        <v>10.727</v>
      </c>
      <c r="F740" s="148">
        <v>10.727</v>
      </c>
      <c r="G740" s="61" t="s">
        <v>738</v>
      </c>
    </row>
    <row r="741" spans="1:7" s="1" customFormat="1" ht="47.25">
      <c r="A741" s="135" t="s">
        <v>826</v>
      </c>
      <c r="B741" s="135" t="s">
        <v>825</v>
      </c>
      <c r="C741" s="61" t="s">
        <v>725</v>
      </c>
      <c r="D741" s="148">
        <v>21.22137</v>
      </c>
      <c r="E741" s="148">
        <v>10.257429999999999</v>
      </c>
      <c r="F741" s="148">
        <v>10.257429999999999</v>
      </c>
      <c r="G741" s="61" t="s">
        <v>738</v>
      </c>
    </row>
    <row r="742" spans="1:7" s="1" customFormat="1" ht="47.25">
      <c r="A742" s="135" t="s">
        <v>824</v>
      </c>
      <c r="B742" s="135" t="s">
        <v>823</v>
      </c>
      <c r="C742" s="61" t="s">
        <v>725</v>
      </c>
      <c r="D742" s="148">
        <f>522.26548+8.42241</f>
        <v>530.68789000000004</v>
      </c>
      <c r="E742" s="148">
        <f>447.4119+47.09753+8.032</f>
        <v>502.54142999999999</v>
      </c>
      <c r="F742" s="148">
        <f>447.4119+47.09753+8.032</f>
        <v>502.54142999999999</v>
      </c>
      <c r="G742" s="61" t="s">
        <v>738</v>
      </c>
    </row>
    <row r="743" spans="1:7" s="1" customFormat="1" ht="47.25">
      <c r="A743" s="135" t="s">
        <v>822</v>
      </c>
      <c r="B743" s="135" t="s">
        <v>821</v>
      </c>
      <c r="C743" s="61" t="s">
        <v>725</v>
      </c>
      <c r="D743" s="148">
        <f>67.94199+3.24+1.12767</f>
        <v>72.309659999999994</v>
      </c>
      <c r="E743" s="148">
        <f>24.20872+34.35368</f>
        <v>58.562399999999997</v>
      </c>
      <c r="F743" s="148">
        <f>24.20872+34.35368</f>
        <v>58.562399999999997</v>
      </c>
      <c r="G743" s="61" t="s">
        <v>738</v>
      </c>
    </row>
    <row r="744" spans="1:7" s="1" customFormat="1" ht="47.25">
      <c r="A744" s="135" t="s">
        <v>820</v>
      </c>
      <c r="B744" s="135" t="s">
        <v>819</v>
      </c>
      <c r="C744" s="61" t="s">
        <v>725</v>
      </c>
      <c r="D744" s="148">
        <f>48.33711-10.47796</f>
        <v>37.85915</v>
      </c>
      <c r="E744" s="148">
        <v>37.85915</v>
      </c>
      <c r="F744" s="148">
        <v>37.85915</v>
      </c>
      <c r="G744" s="61" t="s">
        <v>766</v>
      </c>
    </row>
    <row r="745" spans="1:7" s="1" customFormat="1" ht="47.25">
      <c r="A745" s="135" t="s">
        <v>818</v>
      </c>
      <c r="B745" s="135" t="s">
        <v>817</v>
      </c>
      <c r="C745" s="61" t="s">
        <v>725</v>
      </c>
      <c r="D745" s="148">
        <f>18.62773-10.92242</f>
        <v>7.705309999999999</v>
      </c>
      <c r="E745" s="148">
        <v>7.7053099999999999</v>
      </c>
      <c r="F745" s="148">
        <v>7.7053099999999999</v>
      </c>
      <c r="G745" s="61" t="s">
        <v>766</v>
      </c>
    </row>
    <row r="746" spans="1:7" s="1" customFormat="1" ht="47.25">
      <c r="A746" s="135" t="s">
        <v>816</v>
      </c>
      <c r="B746" s="135" t="s">
        <v>815</v>
      </c>
      <c r="C746" s="61" t="s">
        <v>725</v>
      </c>
      <c r="D746" s="148">
        <f>28.76377-17.71098</f>
        <v>11.052790000000002</v>
      </c>
      <c r="E746" s="148">
        <v>11.05279</v>
      </c>
      <c r="F746" s="148">
        <v>11.05279</v>
      </c>
      <c r="G746" s="61" t="s">
        <v>771</v>
      </c>
    </row>
    <row r="747" spans="1:7" s="1" customFormat="1" ht="47.25">
      <c r="A747" s="135" t="s">
        <v>814</v>
      </c>
      <c r="B747" s="135" t="s">
        <v>813</v>
      </c>
      <c r="C747" s="61" t="s">
        <v>725</v>
      </c>
      <c r="D747" s="148">
        <f>87.26095-8.76086</f>
        <v>78.50009</v>
      </c>
      <c r="E747" s="148">
        <v>78.50009</v>
      </c>
      <c r="F747" s="148">
        <v>78.50009</v>
      </c>
      <c r="G747" s="61" t="s">
        <v>790</v>
      </c>
    </row>
    <row r="748" spans="1:7" s="1" customFormat="1" ht="47.25">
      <c r="A748" s="135" t="s">
        <v>812</v>
      </c>
      <c r="B748" s="135" t="s">
        <v>811</v>
      </c>
      <c r="C748" s="61" t="s">
        <v>725</v>
      </c>
      <c r="D748" s="148">
        <v>5.876E-2</v>
      </c>
      <c r="E748" s="148">
        <v>0</v>
      </c>
      <c r="F748" s="154">
        <v>0</v>
      </c>
      <c r="G748" s="150"/>
    </row>
    <row r="749" spans="1:7" s="1" customFormat="1" ht="47.25">
      <c r="A749" s="135" t="s">
        <v>810</v>
      </c>
      <c r="B749" s="135" t="s">
        <v>809</v>
      </c>
      <c r="C749" s="61" t="s">
        <v>725</v>
      </c>
      <c r="D749" s="148">
        <v>3.8E-3</v>
      </c>
      <c r="E749" s="148">
        <v>0</v>
      </c>
      <c r="F749" s="154">
        <v>0</v>
      </c>
      <c r="G749" s="150"/>
    </row>
    <row r="750" spans="1:7" s="1" customFormat="1" ht="47.25">
      <c r="A750" s="135" t="s">
        <v>808</v>
      </c>
      <c r="B750" s="135" t="s">
        <v>807</v>
      </c>
      <c r="C750" s="61" t="s">
        <v>725</v>
      </c>
      <c r="D750" s="148">
        <v>1</v>
      </c>
      <c r="E750" s="148">
        <v>0</v>
      </c>
      <c r="F750" s="154">
        <v>0</v>
      </c>
      <c r="G750" s="150"/>
    </row>
    <row r="751" spans="1:7" s="1" customFormat="1" ht="47.25">
      <c r="A751" s="135" t="s">
        <v>806</v>
      </c>
      <c r="B751" s="135" t="s">
        <v>805</v>
      </c>
      <c r="C751" s="61" t="s">
        <v>725</v>
      </c>
      <c r="D751" s="148">
        <f>107.07116+0.28118</f>
        <v>107.35234000000001</v>
      </c>
      <c r="E751" s="148">
        <v>88.673349999999999</v>
      </c>
      <c r="F751" s="148">
        <v>88.673349999999999</v>
      </c>
      <c r="G751" s="61" t="s">
        <v>766</v>
      </c>
    </row>
    <row r="752" spans="1:7" s="1" customFormat="1" ht="47.25">
      <c r="A752" s="135" t="s">
        <v>804</v>
      </c>
      <c r="B752" s="135" t="s">
        <v>803</v>
      </c>
      <c r="C752" s="61" t="s">
        <v>725</v>
      </c>
      <c r="D752" s="148">
        <f>29.48388+0.49501</f>
        <v>29.97889</v>
      </c>
      <c r="E752" s="148">
        <f>15.2345+14.24938</f>
        <v>29.483879999999999</v>
      </c>
      <c r="F752" s="148">
        <f>15.2345+14.24938</f>
        <v>29.483879999999999</v>
      </c>
      <c r="G752" s="61" t="s">
        <v>790</v>
      </c>
    </row>
    <row r="753" spans="1:7" s="1" customFormat="1" ht="47.25">
      <c r="A753" s="135" t="s">
        <v>802</v>
      </c>
      <c r="B753" s="135" t="s">
        <v>801</v>
      </c>
      <c r="C753" s="61" t="s">
        <v>725</v>
      </c>
      <c r="D753" s="148">
        <f>51.7237-46.29167</f>
        <v>5.4320299999999975</v>
      </c>
      <c r="E753" s="148">
        <v>5.4320300000000001</v>
      </c>
      <c r="F753" s="148">
        <v>5.4320300000000001</v>
      </c>
      <c r="G753" s="61" t="s">
        <v>766</v>
      </c>
    </row>
    <row r="754" spans="1:7" s="1" customFormat="1" ht="47.25">
      <c r="A754" s="135" t="s">
        <v>800</v>
      </c>
      <c r="B754" s="135" t="s">
        <v>799</v>
      </c>
      <c r="C754" s="61" t="s">
        <v>725</v>
      </c>
      <c r="D754" s="148">
        <f>1.61+211.95898+3.31126</f>
        <v>216.88024000000001</v>
      </c>
      <c r="E754" s="148">
        <v>145.67592999999999</v>
      </c>
      <c r="F754" s="148">
        <v>145.67592999999999</v>
      </c>
      <c r="G754" s="61" t="s">
        <v>790</v>
      </c>
    </row>
    <row r="755" spans="1:7" s="1" customFormat="1" ht="47.25">
      <c r="A755" s="135" t="s">
        <v>798</v>
      </c>
      <c r="B755" s="135" t="s">
        <v>797</v>
      </c>
      <c r="C755" s="61" t="s">
        <v>725</v>
      </c>
      <c r="D755" s="148">
        <f>135.13487+1.0395+2.19204</f>
        <v>138.36641</v>
      </c>
      <c r="E755" s="148">
        <v>94.594409999999996</v>
      </c>
      <c r="F755" s="148">
        <v>94.594409999999996</v>
      </c>
      <c r="G755" s="61" t="s">
        <v>771</v>
      </c>
    </row>
    <row r="756" spans="1:7" s="1" customFormat="1" ht="47.25">
      <c r="A756" s="135" t="s">
        <v>796</v>
      </c>
      <c r="B756" s="135" t="s">
        <v>795</v>
      </c>
      <c r="C756" s="61" t="s">
        <v>725</v>
      </c>
      <c r="D756" s="148">
        <f>121.91304+0.945+1.90689</f>
        <v>124.76492999999999</v>
      </c>
      <c r="E756" s="148">
        <v>84.871679999999998</v>
      </c>
      <c r="F756" s="148">
        <v>84.871679999999998</v>
      </c>
      <c r="G756" s="61" t="s">
        <v>766</v>
      </c>
    </row>
    <row r="757" spans="1:7" s="1" customFormat="1" ht="47.25">
      <c r="A757" s="51" t="s">
        <v>794</v>
      </c>
      <c r="B757" s="51" t="s">
        <v>793</v>
      </c>
      <c r="C757" s="61" t="s">
        <v>725</v>
      </c>
      <c r="D757" s="148">
        <f>115.88183+0.945+1.86704</f>
        <v>118.69386999999999</v>
      </c>
      <c r="E757" s="148">
        <f>79.58641-27.62802+29.5806</f>
        <v>81.538989999999998</v>
      </c>
      <c r="F757" s="148">
        <f>79.58641-27.62802+29.5806</f>
        <v>81.538989999999998</v>
      </c>
      <c r="G757" s="61" t="s">
        <v>790</v>
      </c>
    </row>
    <row r="758" spans="1:7" s="1" customFormat="1" ht="47.25">
      <c r="A758" s="51" t="s">
        <v>792</v>
      </c>
      <c r="B758" s="51" t="s">
        <v>791</v>
      </c>
      <c r="C758" s="61" t="s">
        <v>725</v>
      </c>
      <c r="D758" s="148">
        <f>288.2702+4.62849</f>
        <v>292.89868999999999</v>
      </c>
      <c r="E758" s="148">
        <v>201.41188</v>
      </c>
      <c r="F758" s="148">
        <v>201.41188</v>
      </c>
      <c r="G758" s="61" t="s">
        <v>790</v>
      </c>
    </row>
    <row r="759" spans="1:7" s="1" customFormat="1" ht="47.25">
      <c r="A759" s="135" t="s">
        <v>789</v>
      </c>
      <c r="B759" s="135" t="s">
        <v>788</v>
      </c>
      <c r="C759" s="61" t="s">
        <v>725</v>
      </c>
      <c r="D759" s="148">
        <f>266.29121+4.33543</f>
        <v>270.62663999999995</v>
      </c>
      <c r="E759" s="148">
        <v>246.12468000000001</v>
      </c>
      <c r="F759" s="148">
        <v>246.12468000000001</v>
      </c>
      <c r="G759" s="61" t="s">
        <v>771</v>
      </c>
    </row>
    <row r="760" spans="1:7" s="1" customFormat="1" ht="47.25">
      <c r="A760" s="135" t="s">
        <v>787</v>
      </c>
      <c r="B760" s="135" t="s">
        <v>786</v>
      </c>
      <c r="C760" s="61" t="s">
        <v>725</v>
      </c>
      <c r="D760" s="148">
        <f>292.71144+4.76819</f>
        <v>297.47962999999999</v>
      </c>
      <c r="E760" s="148">
        <v>271.80484000000001</v>
      </c>
      <c r="F760" s="148">
        <v>271.80484000000001</v>
      </c>
      <c r="G760" s="61" t="s">
        <v>766</v>
      </c>
    </row>
    <row r="761" spans="1:7" s="1" customFormat="1" ht="47.25">
      <c r="A761" s="135" t="s">
        <v>785</v>
      </c>
      <c r="B761" s="135" t="s">
        <v>784</v>
      </c>
      <c r="C761" s="61" t="s">
        <v>725</v>
      </c>
      <c r="D761" s="148">
        <f>329.401+5.34495</f>
        <v>334.74594999999999</v>
      </c>
      <c r="E761" s="148">
        <v>296.64022999999997</v>
      </c>
      <c r="F761" s="148">
        <v>296.64022999999997</v>
      </c>
      <c r="G761" s="61" t="s">
        <v>766</v>
      </c>
    </row>
    <row r="762" spans="1:7" s="1" customFormat="1" ht="47.25">
      <c r="A762" s="135" t="s">
        <v>783</v>
      </c>
      <c r="B762" s="135" t="s">
        <v>782</v>
      </c>
      <c r="C762" s="61" t="s">
        <v>725</v>
      </c>
      <c r="D762" s="148">
        <f>118.50108+1.93147</f>
        <v>120.43255000000001</v>
      </c>
      <c r="E762" s="148">
        <v>110.53016</v>
      </c>
      <c r="F762" s="148">
        <v>110.53016</v>
      </c>
      <c r="G762" s="61" t="s">
        <v>766</v>
      </c>
    </row>
    <row r="763" spans="1:7" s="1" customFormat="1" ht="47.25">
      <c r="A763" s="135" t="s">
        <v>781</v>
      </c>
      <c r="B763" s="135" t="s">
        <v>780</v>
      </c>
      <c r="C763" s="61" t="s">
        <v>725</v>
      </c>
      <c r="D763" s="148">
        <f>144.58235+2.35796</f>
        <v>146.94030999999998</v>
      </c>
      <c r="E763" s="148">
        <v>135.56074000000001</v>
      </c>
      <c r="F763" s="148">
        <v>135.56074000000001</v>
      </c>
      <c r="G763" s="61" t="s">
        <v>766</v>
      </c>
    </row>
    <row r="764" spans="1:7" s="1" customFormat="1" ht="47.25">
      <c r="A764" s="135" t="s">
        <v>779</v>
      </c>
      <c r="B764" s="135" t="s">
        <v>778</v>
      </c>
      <c r="C764" s="61" t="s">
        <v>725</v>
      </c>
      <c r="D764" s="148">
        <f>263.79907+4.28426</f>
        <v>268.08332999999999</v>
      </c>
      <c r="E764" s="148">
        <v>239.16553999999999</v>
      </c>
      <c r="F764" s="148">
        <v>239.16553999999999</v>
      </c>
      <c r="G764" s="61" t="s">
        <v>766</v>
      </c>
    </row>
    <row r="765" spans="1:7" s="1" customFormat="1" ht="47.25">
      <c r="A765" s="135" t="s">
        <v>777</v>
      </c>
      <c r="B765" s="135" t="s">
        <v>776</v>
      </c>
      <c r="C765" s="61" t="s">
        <v>725</v>
      </c>
      <c r="D765" s="148">
        <f>534.37093+8.67247</f>
        <v>543.04340000000002</v>
      </c>
      <c r="E765" s="148">
        <v>481.63434000000001</v>
      </c>
      <c r="F765" s="148">
        <v>481.63434000000001</v>
      </c>
      <c r="G765" s="61" t="s">
        <v>766</v>
      </c>
    </row>
    <row r="766" spans="1:7" s="1" customFormat="1" ht="47.25">
      <c r="A766" s="135" t="s">
        <v>775</v>
      </c>
      <c r="B766" s="135" t="s">
        <v>774</v>
      </c>
      <c r="C766" s="61" t="s">
        <v>725</v>
      </c>
      <c r="D766" s="148">
        <f>899.59805+14.71503</f>
        <v>914.3130799999999</v>
      </c>
      <c r="E766" s="148">
        <v>861.58582999999999</v>
      </c>
      <c r="F766" s="148">
        <v>861.58582999999999</v>
      </c>
      <c r="G766" s="61" t="s">
        <v>771</v>
      </c>
    </row>
    <row r="767" spans="1:7" s="1" customFormat="1" ht="47.25">
      <c r="A767" s="135" t="s">
        <v>773</v>
      </c>
      <c r="B767" s="135" t="s">
        <v>772</v>
      </c>
      <c r="C767" s="61" t="s">
        <v>725</v>
      </c>
      <c r="D767" s="148">
        <f>417.05784+6.77137</f>
        <v>423.82920999999999</v>
      </c>
      <c r="E767" s="148">
        <v>377.09316999999999</v>
      </c>
      <c r="F767" s="148">
        <v>377.09316999999999</v>
      </c>
      <c r="G767" s="61" t="s">
        <v>771</v>
      </c>
    </row>
    <row r="768" spans="1:7" s="1" customFormat="1" ht="47.25">
      <c r="A768" s="51" t="s">
        <v>770</v>
      </c>
      <c r="B768" s="51" t="s">
        <v>769</v>
      </c>
      <c r="C768" s="61" t="s">
        <v>725</v>
      </c>
      <c r="D768" s="148">
        <f>219.97928+3.58954</f>
        <v>223.56881999999999</v>
      </c>
      <c r="E768" s="148">
        <v>207.05652000000001</v>
      </c>
      <c r="F768" s="148">
        <v>207.05652000000001</v>
      </c>
      <c r="G768" s="61" t="s">
        <v>766</v>
      </c>
    </row>
    <row r="769" spans="1:7" s="1" customFormat="1" ht="47.25">
      <c r="A769" s="135" t="s">
        <v>768</v>
      </c>
      <c r="B769" s="135" t="s">
        <v>767</v>
      </c>
      <c r="C769" s="61" t="s">
        <v>725</v>
      </c>
      <c r="D769" s="148">
        <f>437.88296+7.1398</f>
        <v>445.02276000000001</v>
      </c>
      <c r="E769" s="148">
        <v>409.44875000000002</v>
      </c>
      <c r="F769" s="148">
        <v>409.44875000000002</v>
      </c>
      <c r="G769" s="61" t="s">
        <v>766</v>
      </c>
    </row>
    <row r="770" spans="1:7" s="1" customFormat="1" ht="47.25">
      <c r="A770" s="51" t="s">
        <v>765</v>
      </c>
      <c r="B770" s="51" t="s">
        <v>764</v>
      </c>
      <c r="C770" s="61" t="s">
        <v>725</v>
      </c>
      <c r="D770" s="148">
        <f>204.98738+3.3359</f>
        <v>208.32328000000001</v>
      </c>
      <c r="E770" s="148">
        <v>188.90579</v>
      </c>
      <c r="F770" s="148">
        <v>188.90579</v>
      </c>
      <c r="G770" s="61" t="s">
        <v>724</v>
      </c>
    </row>
    <row r="771" spans="1:7" s="1" customFormat="1" ht="47.25">
      <c r="A771" s="135" t="s">
        <v>763</v>
      </c>
      <c r="B771" s="135" t="s">
        <v>762</v>
      </c>
      <c r="C771" s="61" t="s">
        <v>725</v>
      </c>
      <c r="D771" s="148">
        <f>564.08011+9.19856</f>
        <v>573.27867000000003</v>
      </c>
      <c r="E771" s="148">
        <v>527.96888000000001</v>
      </c>
      <c r="F771" s="148">
        <v>527.96888000000001</v>
      </c>
      <c r="G771" s="61" t="s">
        <v>727</v>
      </c>
    </row>
    <row r="772" spans="1:7" s="1" customFormat="1" ht="47.25">
      <c r="A772" s="135" t="s">
        <v>761</v>
      </c>
      <c r="B772" s="135" t="s">
        <v>760</v>
      </c>
      <c r="C772" s="61" t="s">
        <v>725</v>
      </c>
      <c r="D772" s="148">
        <f>426.87754+6.96533</f>
        <v>433.84287</v>
      </c>
      <c r="E772" s="148">
        <v>402.09204999999997</v>
      </c>
      <c r="F772" s="148">
        <v>402.09204999999997</v>
      </c>
      <c r="G772" s="61" t="s">
        <v>724</v>
      </c>
    </row>
    <row r="773" spans="1:7" s="1" customFormat="1" ht="47.25">
      <c r="A773" s="135" t="s">
        <v>759</v>
      </c>
      <c r="B773" s="135" t="s">
        <v>758</v>
      </c>
      <c r="C773" s="61" t="s">
        <v>725</v>
      </c>
      <c r="D773" s="148">
        <f>313.57961+5.0997</f>
        <v>318.67930999999999</v>
      </c>
      <c r="E773" s="148">
        <f>313.57961+5.0997-27.95782</f>
        <v>290.72148999999996</v>
      </c>
      <c r="F773" s="148">
        <v>287.54097999999999</v>
      </c>
      <c r="G773" s="61" t="s">
        <v>727</v>
      </c>
    </row>
    <row r="774" spans="1:7" s="1" customFormat="1" ht="47.25">
      <c r="A774" s="51" t="s">
        <v>757</v>
      </c>
      <c r="B774" s="51" t="s">
        <v>756</v>
      </c>
      <c r="C774" s="61" t="s">
        <v>725</v>
      </c>
      <c r="D774" s="148">
        <f>207.87096+3.38535</f>
        <v>211.25630999999998</v>
      </c>
      <c r="E774" s="148">
        <f>207.87096+3.38535</f>
        <v>211.25630999999998</v>
      </c>
      <c r="F774" s="148">
        <v>192.45661000000001</v>
      </c>
      <c r="G774" s="61" t="s">
        <v>724</v>
      </c>
    </row>
    <row r="775" spans="1:7" s="1" customFormat="1" ht="47.25">
      <c r="A775" s="51" t="s">
        <v>755</v>
      </c>
      <c r="B775" s="51" t="s">
        <v>754</v>
      </c>
      <c r="C775" s="61" t="s">
        <v>725</v>
      </c>
      <c r="D775" s="148">
        <f>216.32254+3.53572</f>
        <v>219.85826</v>
      </c>
      <c r="E775" s="148">
        <f>216.32254+3.53572</f>
        <v>219.85826</v>
      </c>
      <c r="F775" s="148">
        <v>206.00358</v>
      </c>
      <c r="G775" s="61" t="s">
        <v>727</v>
      </c>
    </row>
    <row r="776" spans="1:7" s="1" customFormat="1" ht="47.25">
      <c r="A776" s="51" t="s">
        <v>753</v>
      </c>
      <c r="B776" s="51" t="s">
        <v>752</v>
      </c>
      <c r="C776" s="61" t="s">
        <v>725</v>
      </c>
      <c r="D776" s="148">
        <f>192.50598+35.1532+0.0038</f>
        <v>227.66298</v>
      </c>
      <c r="E776" s="148">
        <f>192.50598+35.1532+0.0038</f>
        <v>227.66298</v>
      </c>
      <c r="F776" s="148">
        <v>192.50597999999999</v>
      </c>
      <c r="G776" s="61" t="s">
        <v>724</v>
      </c>
    </row>
    <row r="777" spans="1:7" s="1" customFormat="1" ht="47.25">
      <c r="A777" s="51" t="s">
        <v>751</v>
      </c>
      <c r="B777" s="51" t="s">
        <v>750</v>
      </c>
      <c r="C777" s="61" t="s">
        <v>725</v>
      </c>
      <c r="D777" s="148">
        <f>424.62298+6.86648</f>
        <v>431.48946000000001</v>
      </c>
      <c r="E777" s="148">
        <f>424.62298+6.86648</f>
        <v>431.48946000000001</v>
      </c>
      <c r="F777" s="148">
        <v>371.24410999999998</v>
      </c>
      <c r="G777" s="61" t="s">
        <v>724</v>
      </c>
    </row>
    <row r="778" spans="1:7" s="1" customFormat="1" ht="47.25">
      <c r="A778" s="135" t="s">
        <v>749</v>
      </c>
      <c r="B778" s="135" t="s">
        <v>748</v>
      </c>
      <c r="C778" s="61" t="s">
        <v>725</v>
      </c>
      <c r="D778" s="148">
        <f>494.72106</f>
        <v>494.72106000000002</v>
      </c>
      <c r="E778" s="148">
        <f>494.72106</f>
        <v>494.72106000000002</v>
      </c>
      <c r="F778" s="148">
        <v>462.78406000000001</v>
      </c>
      <c r="G778" s="61" t="s">
        <v>747</v>
      </c>
    </row>
    <row r="779" spans="1:7" s="1" customFormat="1" ht="47.25">
      <c r="A779" s="135" t="s">
        <v>746</v>
      </c>
      <c r="B779" s="135" t="s">
        <v>745</v>
      </c>
      <c r="C779" s="61" t="s">
        <v>725</v>
      </c>
      <c r="D779" s="148">
        <v>42.392209999999999</v>
      </c>
      <c r="E779" s="148">
        <v>42.392209999999999</v>
      </c>
      <c r="F779" s="148">
        <v>42.392209999999999</v>
      </c>
      <c r="G779" s="61" t="s">
        <v>685</v>
      </c>
    </row>
    <row r="780" spans="1:7" s="1" customFormat="1" ht="47.25">
      <c r="A780" s="135" t="s">
        <v>744</v>
      </c>
      <c r="B780" s="135" t="s">
        <v>743</v>
      </c>
      <c r="C780" s="61" t="s">
        <v>725</v>
      </c>
      <c r="D780" s="148">
        <v>47.364179999999998</v>
      </c>
      <c r="E780" s="148">
        <v>47.364179999999998</v>
      </c>
      <c r="F780" s="148">
        <v>47.364179999999998</v>
      </c>
      <c r="G780" s="61" t="s">
        <v>685</v>
      </c>
    </row>
    <row r="781" spans="1:7" s="1" customFormat="1" ht="47.25">
      <c r="A781" s="135" t="s">
        <v>742</v>
      </c>
      <c r="B781" s="135" t="s">
        <v>741</v>
      </c>
      <c r="C781" s="61" t="s">
        <v>725</v>
      </c>
      <c r="D781" s="148">
        <v>49.934739999999998</v>
      </c>
      <c r="E781" s="148">
        <v>49.934739999999998</v>
      </c>
      <c r="F781" s="148">
        <v>49.934739999999998</v>
      </c>
      <c r="G781" s="61" t="s">
        <v>685</v>
      </c>
    </row>
    <row r="782" spans="1:7" s="1" customFormat="1" ht="47.25">
      <c r="A782" s="135" t="s">
        <v>740</v>
      </c>
      <c r="B782" s="135" t="s">
        <v>739</v>
      </c>
      <c r="C782" s="61" t="s">
        <v>725</v>
      </c>
      <c r="D782" s="148">
        <v>198.46260000000001</v>
      </c>
      <c r="E782" s="148">
        <v>198.46260000000001</v>
      </c>
      <c r="F782" s="148">
        <v>183.20747</v>
      </c>
      <c r="G782" s="61" t="s">
        <v>738</v>
      </c>
    </row>
    <row r="783" spans="1:7" s="1" customFormat="1" ht="47.25">
      <c r="A783" s="135" t="s">
        <v>737</v>
      </c>
      <c r="B783" s="135" t="s">
        <v>736</v>
      </c>
      <c r="C783" s="61" t="s">
        <v>725</v>
      </c>
      <c r="D783" s="148">
        <v>197.32826</v>
      </c>
      <c r="E783" s="148">
        <v>197.32826</v>
      </c>
      <c r="F783" s="148">
        <v>182.32829000000001</v>
      </c>
      <c r="G783" s="61" t="s">
        <v>724</v>
      </c>
    </row>
    <row r="784" spans="1:7" s="1" customFormat="1" ht="47.25">
      <c r="A784" s="135" t="s">
        <v>735</v>
      </c>
      <c r="B784" s="135" t="s">
        <v>734</v>
      </c>
      <c r="C784" s="61" t="s">
        <v>725</v>
      </c>
      <c r="D784" s="148">
        <f>213.90172+3.48914</f>
        <v>217.39086</v>
      </c>
      <c r="E784" s="148">
        <f>213.90172+3.48914</f>
        <v>217.39086</v>
      </c>
      <c r="F784" s="148">
        <v>200.73184000000001</v>
      </c>
      <c r="G784" s="61" t="s">
        <v>727</v>
      </c>
    </row>
    <row r="785" spans="1:7" s="1" customFormat="1" ht="47.25">
      <c r="A785" s="135" t="s">
        <v>733</v>
      </c>
      <c r="B785" s="135" t="s">
        <v>732</v>
      </c>
      <c r="C785" s="61" t="s">
        <v>725</v>
      </c>
      <c r="D785" s="148">
        <f>143.67816+2.33492</f>
        <v>146.01308</v>
      </c>
      <c r="E785" s="148">
        <f>143.67816+2.33492</f>
        <v>146.01308</v>
      </c>
      <c r="F785" s="148">
        <v>131.07226</v>
      </c>
      <c r="G785" s="61" t="s">
        <v>727</v>
      </c>
    </row>
    <row r="786" spans="1:7" s="1" customFormat="1" ht="47.25">
      <c r="A786" s="135" t="s">
        <v>731</v>
      </c>
      <c r="B786" s="135" t="s">
        <v>730</v>
      </c>
      <c r="C786" s="61" t="s">
        <v>725</v>
      </c>
      <c r="D786" s="148">
        <v>277.36385999999999</v>
      </c>
      <c r="E786" s="148">
        <v>277.36385999999999</v>
      </c>
      <c r="F786" s="148">
        <v>259.07843000000003</v>
      </c>
      <c r="G786" s="61" t="s">
        <v>724</v>
      </c>
    </row>
    <row r="787" spans="1:7" s="1" customFormat="1" ht="47.25">
      <c r="A787" s="135" t="s">
        <v>729</v>
      </c>
      <c r="B787" s="135" t="s">
        <v>728</v>
      </c>
      <c r="C787" s="61" t="s">
        <v>725</v>
      </c>
      <c r="D787" s="148">
        <f>553.14479+9.04022</f>
        <v>562.18500999999992</v>
      </c>
      <c r="E787" s="148">
        <f>553.14479+9.04022</f>
        <v>562.18500999999992</v>
      </c>
      <c r="F787" s="148">
        <v>526.18691999999999</v>
      </c>
      <c r="G787" s="61" t="s">
        <v>727</v>
      </c>
    </row>
    <row r="788" spans="1:7" s="1" customFormat="1" ht="47.25">
      <c r="A788" s="135" t="s">
        <v>726</v>
      </c>
      <c r="B788" s="135" t="s">
        <v>578</v>
      </c>
      <c r="C788" s="61" t="s">
        <v>725</v>
      </c>
      <c r="D788" s="148">
        <f>200.87456+3.27535</f>
        <v>204.14991000000001</v>
      </c>
      <c r="E788" s="148">
        <f>200.87456+3.27535</f>
        <v>204.14991000000001</v>
      </c>
      <c r="F788" s="148">
        <v>188.05531999999999</v>
      </c>
      <c r="G788" s="61" t="s">
        <v>724</v>
      </c>
    </row>
    <row r="789" spans="1:7" s="1" customFormat="1">
      <c r="A789" s="135"/>
      <c r="B789" s="153" t="s">
        <v>723</v>
      </c>
      <c r="C789" s="61"/>
      <c r="D789" s="148">
        <f>2661.94775+132.00226-1105.84154-15.61027</f>
        <v>1672.4982000000002</v>
      </c>
      <c r="E789" s="148">
        <v>0</v>
      </c>
      <c r="F789" s="148">
        <v>0</v>
      </c>
      <c r="G789" s="61"/>
    </row>
    <row r="790" spans="1:7" s="1" customFormat="1" ht="31.5">
      <c r="A790" s="61"/>
      <c r="B790" s="145" t="s">
        <v>722</v>
      </c>
      <c r="C790" s="61"/>
      <c r="D790" s="144">
        <f>D791+D792+D793+D794+D795+D796+D797</f>
        <v>4976.5149500000007</v>
      </c>
      <c r="E790" s="144">
        <f>E791+E792+E793+E794+E795+E796+E797</f>
        <v>4569.3061500000003</v>
      </c>
      <c r="F790" s="144">
        <f>F791+F792+F793+F794+F795+F796+F797</f>
        <v>4193.2966299999998</v>
      </c>
      <c r="G790" s="61"/>
    </row>
    <row r="791" spans="1:7" s="1" customFormat="1" ht="31.5">
      <c r="A791" s="61" t="s">
        <v>721</v>
      </c>
      <c r="B791" s="61" t="s">
        <v>720</v>
      </c>
      <c r="C791" s="61" t="s">
        <v>706</v>
      </c>
      <c r="D791" s="148">
        <v>68.2607</v>
      </c>
      <c r="E791" s="147">
        <v>68.2607</v>
      </c>
      <c r="F791" s="146"/>
      <c r="G791" s="61" t="s">
        <v>685</v>
      </c>
    </row>
    <row r="792" spans="1:7" s="1" customFormat="1" ht="47.25">
      <c r="A792" s="61" t="s">
        <v>719</v>
      </c>
      <c r="B792" s="61" t="s">
        <v>718</v>
      </c>
      <c r="C792" s="61" t="s">
        <v>706</v>
      </c>
      <c r="D792" s="148">
        <v>108.32597</v>
      </c>
      <c r="E792" s="146"/>
      <c r="F792" s="152"/>
      <c r="G792" s="150"/>
    </row>
    <row r="793" spans="1:7" s="1" customFormat="1" ht="47.25">
      <c r="A793" s="61" t="s">
        <v>717</v>
      </c>
      <c r="B793" s="61" t="s">
        <v>716</v>
      </c>
      <c r="C793" s="61" t="s">
        <v>706</v>
      </c>
      <c r="D793" s="148">
        <v>1338.6445200000001</v>
      </c>
      <c r="E793" s="148">
        <v>1338.6445200000001</v>
      </c>
      <c r="F793" s="147">
        <v>1296.3910000000001</v>
      </c>
      <c r="G793" s="61" t="s">
        <v>709</v>
      </c>
    </row>
    <row r="794" spans="1:7" s="1" customFormat="1" ht="47.25">
      <c r="A794" s="61" t="s">
        <v>715</v>
      </c>
      <c r="B794" s="61" t="s">
        <v>714</v>
      </c>
      <c r="C794" s="61" t="s">
        <v>706</v>
      </c>
      <c r="D794" s="148">
        <v>1159.10024</v>
      </c>
      <c r="E794" s="148">
        <v>1159.10024</v>
      </c>
      <c r="F794" s="147">
        <v>1019.02594</v>
      </c>
      <c r="G794" s="61" t="s">
        <v>709</v>
      </c>
    </row>
    <row r="795" spans="1:7" s="1" customFormat="1" ht="47.25">
      <c r="A795" s="61" t="s">
        <v>713</v>
      </c>
      <c r="B795" s="61" t="s">
        <v>712</v>
      </c>
      <c r="C795" s="61" t="s">
        <v>706</v>
      </c>
      <c r="D795" s="148">
        <v>1411.5640000000001</v>
      </c>
      <c r="E795" s="147">
        <v>1411.5640000000001</v>
      </c>
      <c r="F795" s="147">
        <v>1324.5157099999999</v>
      </c>
      <c r="G795" s="61" t="s">
        <v>709</v>
      </c>
    </row>
    <row r="796" spans="1:7" s="1" customFormat="1" ht="47.25">
      <c r="A796" s="61" t="s">
        <v>711</v>
      </c>
      <c r="B796" s="61" t="s">
        <v>710</v>
      </c>
      <c r="C796" s="61" t="s">
        <v>706</v>
      </c>
      <c r="D796" s="148">
        <v>591.73668999999995</v>
      </c>
      <c r="E796" s="147">
        <v>591.73668999999995</v>
      </c>
      <c r="F796" s="147">
        <v>553.36397999999997</v>
      </c>
      <c r="G796" s="61" t="s">
        <v>709</v>
      </c>
    </row>
    <row r="797" spans="1:7" s="1" customFormat="1" ht="31.5">
      <c r="A797" s="61" t="s">
        <v>708</v>
      </c>
      <c r="B797" s="61" t="s">
        <v>707</v>
      </c>
      <c r="C797" s="61" t="s">
        <v>706</v>
      </c>
      <c r="D797" s="148">
        <v>298.88283000000001</v>
      </c>
      <c r="E797" s="147"/>
      <c r="F797" s="151"/>
      <c r="G797" s="150"/>
    </row>
    <row r="798" spans="1:7" s="1" customFormat="1" ht="31.5">
      <c r="A798" s="61"/>
      <c r="B798" s="145" t="s">
        <v>698</v>
      </c>
      <c r="C798" s="61"/>
      <c r="D798" s="144">
        <f>D799+D800+D801</f>
        <v>3403.8445700000002</v>
      </c>
      <c r="E798" s="144">
        <f>E799+E800+E801</f>
        <v>568.85217999999998</v>
      </c>
      <c r="F798" s="144">
        <f>F799+F800+F801</f>
        <v>566.15124000000003</v>
      </c>
      <c r="G798" s="61"/>
    </row>
    <row r="799" spans="1:7" s="1" customFormat="1" ht="78.75">
      <c r="A799" s="61" t="s">
        <v>705</v>
      </c>
      <c r="B799" s="61" t="s">
        <v>704</v>
      </c>
      <c r="C799" s="61" t="s">
        <v>698</v>
      </c>
      <c r="D799" s="147">
        <v>540.34299999999996</v>
      </c>
      <c r="E799" s="147">
        <v>540.34299999999996</v>
      </c>
      <c r="F799" s="147">
        <f>525.46101+12.18105</f>
        <v>537.64206000000001</v>
      </c>
      <c r="G799" s="61" t="s">
        <v>703</v>
      </c>
    </row>
    <row r="800" spans="1:7" s="1" customFormat="1" ht="31.5">
      <c r="A800" s="61" t="s">
        <v>702</v>
      </c>
      <c r="B800" s="61" t="s">
        <v>701</v>
      </c>
      <c r="C800" s="61" t="s">
        <v>698</v>
      </c>
      <c r="D800" s="146">
        <v>1478.8560500000001</v>
      </c>
      <c r="E800" s="146">
        <v>14.25459</v>
      </c>
      <c r="F800" s="146">
        <v>14.25459</v>
      </c>
      <c r="G800" s="61" t="s">
        <v>685</v>
      </c>
    </row>
    <row r="801" spans="1:7" s="1" customFormat="1" ht="31.5">
      <c r="A801" s="61" t="s">
        <v>700</v>
      </c>
      <c r="B801" s="61" t="s">
        <v>699</v>
      </c>
      <c r="C801" s="61" t="s">
        <v>698</v>
      </c>
      <c r="D801" s="148">
        <v>1384.64552</v>
      </c>
      <c r="E801" s="146">
        <v>14.25459</v>
      </c>
      <c r="F801" s="146">
        <v>14.25459</v>
      </c>
      <c r="G801" s="61" t="s">
        <v>680</v>
      </c>
    </row>
    <row r="802" spans="1:7" s="1" customFormat="1" ht="31.5">
      <c r="A802" s="145"/>
      <c r="B802" s="145" t="s">
        <v>695</v>
      </c>
      <c r="C802" s="145"/>
      <c r="D802" s="144">
        <f>D803</f>
        <v>489.245</v>
      </c>
      <c r="E802" s="144">
        <f>E803</f>
        <v>489.245</v>
      </c>
      <c r="F802" s="144">
        <f>F803</f>
        <v>489.24403000000001</v>
      </c>
      <c r="G802" s="145"/>
    </row>
    <row r="803" spans="1:7" s="1" customFormat="1" ht="31.5">
      <c r="A803" s="61" t="s">
        <v>697</v>
      </c>
      <c r="B803" s="61" t="s">
        <v>696</v>
      </c>
      <c r="C803" s="61" t="s">
        <v>695</v>
      </c>
      <c r="D803" s="148">
        <v>489.245</v>
      </c>
      <c r="E803" s="147">
        <v>489.245</v>
      </c>
      <c r="F803" s="147">
        <v>489.24403000000001</v>
      </c>
      <c r="G803" s="61" t="s">
        <v>694</v>
      </c>
    </row>
    <row r="804" spans="1:7" s="1" customFormat="1" ht="31.5">
      <c r="A804" s="61"/>
      <c r="B804" s="145" t="s">
        <v>663</v>
      </c>
      <c r="C804" s="61"/>
      <c r="D804" s="144">
        <f>D805+D806+D808+D809+D810+D811+D812+D813+D814+D815+D816+D807</f>
        <v>2791.4177900000004</v>
      </c>
      <c r="E804" s="144">
        <f>E805+E806+E808+E809+E810+E811+E812+E813+E814+E815+E816+E807</f>
        <v>2498.2586999999999</v>
      </c>
      <c r="F804" s="144">
        <f>F805+F806+F808+F809+F810+F811+F812+F813+F814+F815+F816+F807</f>
        <v>1929.3111800000001</v>
      </c>
      <c r="G804" s="61"/>
    </row>
    <row r="805" spans="1:7" s="1" customFormat="1" ht="94.5">
      <c r="A805" s="61" t="s">
        <v>693</v>
      </c>
      <c r="B805" s="61" t="s">
        <v>692</v>
      </c>
      <c r="C805" s="61" t="s">
        <v>663</v>
      </c>
      <c r="D805" s="148">
        <v>1800</v>
      </c>
      <c r="E805" s="147">
        <v>1695.14411</v>
      </c>
      <c r="F805" s="147">
        <v>1226.19659</v>
      </c>
      <c r="G805" s="61" t="s">
        <v>691</v>
      </c>
    </row>
    <row r="806" spans="1:7" s="1" customFormat="1" ht="47.25">
      <c r="A806" s="61" t="s">
        <v>690</v>
      </c>
      <c r="B806" s="61" t="s">
        <v>689</v>
      </c>
      <c r="C806" s="61" t="s">
        <v>663</v>
      </c>
      <c r="D806" s="148">
        <v>660.56868999999995</v>
      </c>
      <c r="E806" s="147">
        <v>660.56868999999995</v>
      </c>
      <c r="F806" s="147">
        <v>560.56868999999995</v>
      </c>
      <c r="G806" s="61" t="s">
        <v>688</v>
      </c>
    </row>
    <row r="807" spans="1:7" s="1" customFormat="1" ht="63">
      <c r="A807" s="61" t="s">
        <v>687</v>
      </c>
      <c r="B807" s="61" t="s">
        <v>686</v>
      </c>
      <c r="C807" s="61" t="s">
        <v>663</v>
      </c>
      <c r="D807" s="148">
        <v>33.084910000000001</v>
      </c>
      <c r="E807" s="147">
        <v>14.25459</v>
      </c>
      <c r="F807" s="147">
        <v>14.25459</v>
      </c>
      <c r="G807" s="61" t="s">
        <v>685</v>
      </c>
    </row>
    <row r="808" spans="1:7" s="1" customFormat="1" ht="31.5">
      <c r="A808" s="61" t="s">
        <v>684</v>
      </c>
      <c r="B808" s="61" t="s">
        <v>683</v>
      </c>
      <c r="C808" s="61" t="s">
        <v>663</v>
      </c>
      <c r="D808" s="148">
        <v>33.084910000000001</v>
      </c>
      <c r="E808" s="147">
        <v>14.25459</v>
      </c>
      <c r="F808" s="147">
        <v>14.25459</v>
      </c>
      <c r="G808" s="61" t="s">
        <v>680</v>
      </c>
    </row>
    <row r="809" spans="1:7" s="1" customFormat="1" ht="31.5">
      <c r="A809" s="61" t="s">
        <v>682</v>
      </c>
      <c r="B809" s="61" t="s">
        <v>681</v>
      </c>
      <c r="C809" s="61" t="s">
        <v>663</v>
      </c>
      <c r="D809" s="148">
        <v>33.084910000000001</v>
      </c>
      <c r="E809" s="147">
        <v>14.25459</v>
      </c>
      <c r="F809" s="147">
        <v>14.25459</v>
      </c>
      <c r="G809" s="61" t="s">
        <v>680</v>
      </c>
    </row>
    <row r="810" spans="1:7" s="1" customFormat="1" ht="31.5">
      <c r="A810" s="61" t="s">
        <v>679</v>
      </c>
      <c r="B810" s="61" t="s">
        <v>678</v>
      </c>
      <c r="C810" s="61" t="s">
        <v>663</v>
      </c>
      <c r="D810" s="148">
        <v>33.084910000000001</v>
      </c>
      <c r="E810" s="147">
        <v>14.25459</v>
      </c>
      <c r="F810" s="147">
        <v>14.25459</v>
      </c>
      <c r="G810" s="61" t="s">
        <v>677</v>
      </c>
    </row>
    <row r="811" spans="1:7" s="1" customFormat="1" ht="31.5">
      <c r="A811" s="61" t="s">
        <v>676</v>
      </c>
      <c r="B811" s="61" t="s">
        <v>675</v>
      </c>
      <c r="C811" s="61" t="s">
        <v>663</v>
      </c>
      <c r="D811" s="148">
        <v>33.084910000000001</v>
      </c>
      <c r="E811" s="147">
        <v>14.25459</v>
      </c>
      <c r="F811" s="147">
        <v>14.25459</v>
      </c>
      <c r="G811" s="61" t="s">
        <v>670</v>
      </c>
    </row>
    <row r="812" spans="1:7" s="1" customFormat="1" ht="31.5">
      <c r="A812" s="61" t="s">
        <v>674</v>
      </c>
      <c r="B812" s="61" t="s">
        <v>673</v>
      </c>
      <c r="C812" s="61" t="s">
        <v>663</v>
      </c>
      <c r="D812" s="148">
        <v>33.084910000000001</v>
      </c>
      <c r="E812" s="147">
        <v>14.25459</v>
      </c>
      <c r="F812" s="147">
        <v>14.25459</v>
      </c>
      <c r="G812" s="61" t="s">
        <v>670</v>
      </c>
    </row>
    <row r="813" spans="1:7" s="1" customFormat="1" ht="31.5">
      <c r="A813" s="61" t="s">
        <v>672</v>
      </c>
      <c r="B813" s="61" t="s">
        <v>671</v>
      </c>
      <c r="C813" s="61" t="s">
        <v>663</v>
      </c>
      <c r="D813" s="148">
        <v>33.084910000000001</v>
      </c>
      <c r="E813" s="147">
        <v>14.25459</v>
      </c>
      <c r="F813" s="147">
        <v>14.25459</v>
      </c>
      <c r="G813" s="61" t="s">
        <v>670</v>
      </c>
    </row>
    <row r="814" spans="1:7" s="1" customFormat="1" ht="31.5">
      <c r="A814" s="61" t="s">
        <v>669</v>
      </c>
      <c r="B814" s="61" t="s">
        <v>668</v>
      </c>
      <c r="C814" s="61" t="s">
        <v>663</v>
      </c>
      <c r="D814" s="148">
        <v>33.084910000000001</v>
      </c>
      <c r="E814" s="147">
        <v>14.25459</v>
      </c>
      <c r="F814" s="147">
        <v>14.25459</v>
      </c>
      <c r="G814" s="61" t="s">
        <v>662</v>
      </c>
    </row>
    <row r="815" spans="1:7" s="1" customFormat="1" ht="47.25">
      <c r="A815" s="61" t="s">
        <v>667</v>
      </c>
      <c r="B815" s="61" t="s">
        <v>666</v>
      </c>
      <c r="C815" s="61" t="s">
        <v>663</v>
      </c>
      <c r="D815" s="148">
        <v>33.084910000000001</v>
      </c>
      <c r="E815" s="147">
        <v>14.25459</v>
      </c>
      <c r="F815" s="147">
        <v>14.25459</v>
      </c>
      <c r="G815" s="61" t="s">
        <v>662</v>
      </c>
    </row>
    <row r="816" spans="1:7" s="1" customFormat="1" ht="31.5">
      <c r="A816" s="61" t="s">
        <v>665</v>
      </c>
      <c r="B816" s="61" t="s">
        <v>664</v>
      </c>
      <c r="C816" s="61" t="s">
        <v>663</v>
      </c>
      <c r="D816" s="148">
        <v>33.084910000000001</v>
      </c>
      <c r="E816" s="147">
        <v>14.25459</v>
      </c>
      <c r="F816" s="147">
        <v>14.25459</v>
      </c>
      <c r="G816" s="61" t="s">
        <v>662</v>
      </c>
    </row>
    <row r="817" spans="1:7" s="1" customFormat="1" ht="31.5">
      <c r="A817" s="61"/>
      <c r="B817" s="145" t="s">
        <v>661</v>
      </c>
      <c r="C817" s="61"/>
      <c r="D817" s="149">
        <f>D818</f>
        <v>138.97769</v>
      </c>
      <c r="E817" s="149">
        <f>E818</f>
        <v>132.14296999999999</v>
      </c>
      <c r="F817" s="149">
        <f>F818</f>
        <v>132.14296999999999</v>
      </c>
      <c r="G817" s="61"/>
    </row>
    <row r="818" spans="1:7" s="1" customFormat="1" ht="47.25">
      <c r="A818" s="61" t="s">
        <v>660</v>
      </c>
      <c r="B818" s="61" t="s">
        <v>659</v>
      </c>
      <c r="C818" s="61" t="s">
        <v>658</v>
      </c>
      <c r="D818" s="148">
        <v>138.97769</v>
      </c>
      <c r="E818" s="147">
        <v>132.14296999999999</v>
      </c>
      <c r="F818" s="147">
        <v>132.14296999999999</v>
      </c>
      <c r="G818" s="61" t="s">
        <v>657</v>
      </c>
    </row>
    <row r="819" spans="1:7" s="1" customFormat="1">
      <c r="A819" s="61"/>
      <c r="B819" s="61" t="s">
        <v>656</v>
      </c>
      <c r="C819" s="74"/>
      <c r="D819" s="146">
        <v>14980</v>
      </c>
      <c r="E819" s="146">
        <v>11984</v>
      </c>
      <c r="F819" s="146"/>
      <c r="G819" s="61"/>
    </row>
    <row r="820" spans="1:7" s="1" customFormat="1">
      <c r="A820" s="61"/>
      <c r="B820" s="145" t="s">
        <v>655</v>
      </c>
      <c r="C820" s="145"/>
      <c r="D820" s="144">
        <f>D486+D502+D500</f>
        <v>110154.61500000002</v>
      </c>
      <c r="E820" s="144">
        <f>E486+E502</f>
        <v>80897.568999999974</v>
      </c>
      <c r="F820" s="144">
        <f>F486+F502</f>
        <v>63586.940709999973</v>
      </c>
      <c r="G820" s="61"/>
    </row>
    <row r="821" spans="1:7" s="1" customFormat="1">
      <c r="A821" s="143" t="s">
        <v>654</v>
      </c>
      <c r="B821" s="143"/>
      <c r="C821" s="143"/>
      <c r="D821" s="143"/>
      <c r="E821" s="143"/>
      <c r="F821" s="143"/>
      <c r="G821" s="143"/>
    </row>
    <row r="822" spans="1:7" s="1" customFormat="1" ht="31.5">
      <c r="A822" s="142" t="s">
        <v>653</v>
      </c>
      <c r="B822" s="141"/>
      <c r="C822" s="140"/>
      <c r="D822" s="139">
        <f>SUM(D823:D876,D884:D929,D935:D957,D961:D972)</f>
        <v>55302.550529999993</v>
      </c>
      <c r="E822" s="139">
        <f>SUM(E823:E876,E884:E929,E935:E957,E961:E972)</f>
        <v>32917.972860000009</v>
      </c>
      <c r="F822" s="139">
        <f>SUM(F823:F876,F884:F929,F935:F957,F961:F972)</f>
        <v>30118.318010000006</v>
      </c>
      <c r="G822" s="135"/>
    </row>
    <row r="823" spans="1:7" s="1" customFormat="1" ht="31.5">
      <c r="A823" s="138" t="s">
        <v>652</v>
      </c>
      <c r="B823" s="134" t="s">
        <v>651</v>
      </c>
      <c r="C823" s="137" t="s">
        <v>153</v>
      </c>
      <c r="D823" s="56">
        <v>844.41183999999998</v>
      </c>
      <c r="E823" s="56">
        <v>844.41183999999998</v>
      </c>
      <c r="F823" s="49">
        <v>18.63</v>
      </c>
      <c r="G823" s="135" t="s">
        <v>650</v>
      </c>
    </row>
    <row r="824" spans="1:7" s="1" customFormat="1">
      <c r="A824" s="136"/>
      <c r="B824" s="134"/>
      <c r="C824" s="93" t="s">
        <v>158</v>
      </c>
      <c r="D824" s="50"/>
      <c r="E824" s="50"/>
      <c r="F824" s="49">
        <v>825.78183999999999</v>
      </c>
      <c r="G824" s="135" t="s">
        <v>402</v>
      </c>
    </row>
    <row r="825" spans="1:7" s="1" customFormat="1" ht="31.5">
      <c r="A825" s="13" t="s">
        <v>649</v>
      </c>
      <c r="B825" s="13" t="s">
        <v>648</v>
      </c>
      <c r="C825" s="93" t="s">
        <v>158</v>
      </c>
      <c r="D825" s="49">
        <v>2401.636</v>
      </c>
      <c r="E825" s="49">
        <v>2401.636</v>
      </c>
      <c r="F825" s="49">
        <v>1663.836</v>
      </c>
      <c r="G825" s="51" t="s">
        <v>569</v>
      </c>
    </row>
    <row r="826" spans="1:7" s="1" customFormat="1" ht="31.5">
      <c r="A826" s="13" t="s">
        <v>647</v>
      </c>
      <c r="B826" s="13" t="s">
        <v>646</v>
      </c>
      <c r="C826" s="93" t="s">
        <v>158</v>
      </c>
      <c r="D826" s="49">
        <v>1145.89418</v>
      </c>
      <c r="E826" s="49">
        <v>1145.89418</v>
      </c>
      <c r="F826" s="49">
        <v>1145.89418</v>
      </c>
      <c r="G826" s="51" t="s">
        <v>402</v>
      </c>
    </row>
    <row r="827" spans="1:7" s="1" customFormat="1" ht="31.5">
      <c r="A827" s="61" t="s">
        <v>645</v>
      </c>
      <c r="B827" s="61" t="s">
        <v>644</v>
      </c>
      <c r="C827" s="51" t="s">
        <v>158</v>
      </c>
      <c r="D827" s="49">
        <v>1167.3198199999999</v>
      </c>
      <c r="E827" s="49">
        <v>1167.3198199999999</v>
      </c>
      <c r="F827" s="49">
        <v>1167.3198199999999</v>
      </c>
      <c r="G827" s="51" t="s">
        <v>643</v>
      </c>
    </row>
    <row r="828" spans="1:7" s="1" customFormat="1" ht="31.5">
      <c r="A828" s="13" t="s">
        <v>642</v>
      </c>
      <c r="B828" s="13" t="s">
        <v>641</v>
      </c>
      <c r="C828" s="51" t="s">
        <v>158</v>
      </c>
      <c r="D828" s="49">
        <v>982.20136000000002</v>
      </c>
      <c r="E828" s="49">
        <v>982.20136000000002</v>
      </c>
      <c r="F828" s="49">
        <v>982.20136000000002</v>
      </c>
      <c r="G828" s="51" t="s">
        <v>550</v>
      </c>
    </row>
    <row r="829" spans="1:7" s="1" customFormat="1" ht="31.5">
      <c r="A829" s="61" t="s">
        <v>640</v>
      </c>
      <c r="B829" s="61" t="s">
        <v>639</v>
      </c>
      <c r="C829" s="93" t="s">
        <v>158</v>
      </c>
      <c r="D829" s="49">
        <v>171.86259000000001</v>
      </c>
      <c r="E829" s="49">
        <v>171.86259000000001</v>
      </c>
      <c r="F829" s="49">
        <v>171.86259000000001</v>
      </c>
      <c r="G829" s="51" t="s">
        <v>393</v>
      </c>
    </row>
    <row r="830" spans="1:7" s="1" customFormat="1" ht="31.5">
      <c r="A830" s="61" t="s">
        <v>638</v>
      </c>
      <c r="B830" s="61" t="s">
        <v>637</v>
      </c>
      <c r="C830" s="51"/>
      <c r="D830" s="49">
        <v>22.377600000000001</v>
      </c>
      <c r="E830" s="49">
        <v>0</v>
      </c>
      <c r="F830" s="116">
        <v>0</v>
      </c>
      <c r="G830" s="115" t="s">
        <v>381</v>
      </c>
    </row>
    <row r="831" spans="1:7" s="1" customFormat="1" ht="31.5">
      <c r="A831" s="125" t="s">
        <v>636</v>
      </c>
      <c r="B831" s="125" t="s">
        <v>635</v>
      </c>
      <c r="C831" s="51" t="s">
        <v>153</v>
      </c>
      <c r="D831" s="56">
        <v>88.071390000000008</v>
      </c>
      <c r="E831" s="56">
        <v>88.071390000000008</v>
      </c>
      <c r="F831" s="49">
        <v>5.4</v>
      </c>
      <c r="G831" s="51" t="s">
        <v>548</v>
      </c>
    </row>
    <row r="832" spans="1:7" s="1" customFormat="1">
      <c r="A832" s="124"/>
      <c r="B832" s="124"/>
      <c r="C832" s="93" t="s">
        <v>158</v>
      </c>
      <c r="D832" s="50"/>
      <c r="E832" s="50"/>
      <c r="F832" s="49">
        <v>82.671390000000002</v>
      </c>
      <c r="G832" s="51" t="s">
        <v>634</v>
      </c>
    </row>
    <row r="833" spans="1:7" s="1" customFormat="1" ht="31.5">
      <c r="A833" s="13" t="s">
        <v>633</v>
      </c>
      <c r="B833" s="13" t="s">
        <v>632</v>
      </c>
      <c r="C833" s="93" t="s">
        <v>158</v>
      </c>
      <c r="D833" s="49">
        <v>174.60499999999999</v>
      </c>
      <c r="E833" s="49">
        <v>174.60499999999999</v>
      </c>
      <c r="F833" s="49">
        <v>174.60499999999999</v>
      </c>
      <c r="G833" s="61" t="s">
        <v>381</v>
      </c>
    </row>
    <row r="834" spans="1:7" s="1" customFormat="1" ht="31.5">
      <c r="A834" s="128" t="s">
        <v>631</v>
      </c>
      <c r="B834" s="128" t="s">
        <v>630</v>
      </c>
      <c r="C834" s="93" t="s">
        <v>158</v>
      </c>
      <c r="D834" s="56">
        <v>854.14313000000004</v>
      </c>
      <c r="E834" s="56">
        <v>854.14313000000004</v>
      </c>
      <c r="F834" s="49">
        <v>828.81113000000005</v>
      </c>
      <c r="G834" s="51" t="s">
        <v>402</v>
      </c>
    </row>
    <row r="835" spans="1:7" s="1" customFormat="1">
      <c r="A835" s="127"/>
      <c r="B835" s="127"/>
      <c r="C835" s="51" t="s">
        <v>153</v>
      </c>
      <c r="D835" s="50"/>
      <c r="E835" s="50"/>
      <c r="F835" s="49">
        <v>25.332000000000001</v>
      </c>
      <c r="G835" s="51" t="s">
        <v>558</v>
      </c>
    </row>
    <row r="836" spans="1:7" s="1" customFormat="1" ht="31.5">
      <c r="A836" s="132" t="s">
        <v>629</v>
      </c>
      <c r="B836" s="132" t="s">
        <v>628</v>
      </c>
      <c r="C836" s="93" t="s">
        <v>158</v>
      </c>
      <c r="D836" s="56">
        <v>879.00136999999995</v>
      </c>
      <c r="E836" s="56">
        <v>879.00136999999995</v>
      </c>
      <c r="F836" s="49">
        <v>540.17903999999999</v>
      </c>
      <c r="G836" s="51" t="s">
        <v>334</v>
      </c>
    </row>
    <row r="837" spans="1:7" s="1" customFormat="1">
      <c r="A837" s="130"/>
      <c r="B837" s="130"/>
      <c r="C837" s="51" t="s">
        <v>153</v>
      </c>
      <c r="D837" s="50"/>
      <c r="E837" s="50"/>
      <c r="F837" s="49">
        <v>38.354999999999997</v>
      </c>
      <c r="G837" s="51" t="s">
        <v>152</v>
      </c>
    </row>
    <row r="838" spans="1:7" s="1" customFormat="1" ht="31.5">
      <c r="A838" s="132" t="s">
        <v>627</v>
      </c>
      <c r="B838" s="132" t="s">
        <v>626</v>
      </c>
      <c r="C838" s="51" t="s">
        <v>153</v>
      </c>
      <c r="D838" s="56">
        <v>601.71100000000001</v>
      </c>
      <c r="E838" s="56">
        <v>601.71100000000001</v>
      </c>
      <c r="F838" s="49">
        <v>27.45</v>
      </c>
      <c r="G838" s="51" t="s">
        <v>152</v>
      </c>
    </row>
    <row r="839" spans="1:7" s="1" customFormat="1">
      <c r="A839" s="130"/>
      <c r="B839" s="130"/>
      <c r="C839" s="93" t="s">
        <v>158</v>
      </c>
      <c r="D839" s="50"/>
      <c r="E839" s="50"/>
      <c r="F839" s="49">
        <v>574.26099999999997</v>
      </c>
      <c r="G839" s="51" t="s">
        <v>390</v>
      </c>
    </row>
    <row r="840" spans="1:7" s="1" customFormat="1" ht="31.5">
      <c r="A840" s="132" t="s">
        <v>625</v>
      </c>
      <c r="B840" s="132" t="s">
        <v>624</v>
      </c>
      <c r="C840" s="93" t="s">
        <v>158</v>
      </c>
      <c r="D840" s="56">
        <v>1175.2689</v>
      </c>
      <c r="E840" s="56">
        <v>1175.2689</v>
      </c>
      <c r="F840" s="49">
        <v>1133.9958999999999</v>
      </c>
      <c r="G840" s="51" t="s">
        <v>384</v>
      </c>
    </row>
    <row r="841" spans="1:7" s="1" customFormat="1">
      <c r="A841" s="130"/>
      <c r="B841" s="130"/>
      <c r="C841" s="51" t="s">
        <v>153</v>
      </c>
      <c r="D841" s="50"/>
      <c r="E841" s="50"/>
      <c r="F841" s="49">
        <v>41.273000000000003</v>
      </c>
      <c r="G841" s="51" t="s">
        <v>152</v>
      </c>
    </row>
    <row r="842" spans="1:7" s="1" customFormat="1" ht="31.5">
      <c r="A842" s="114" t="s">
        <v>623</v>
      </c>
      <c r="B842" s="114" t="s">
        <v>622</v>
      </c>
      <c r="C842" s="51" t="s">
        <v>153</v>
      </c>
      <c r="D842" s="49">
        <v>35.726999999999997</v>
      </c>
      <c r="E842" s="49">
        <v>35.726999999999997</v>
      </c>
      <c r="F842" s="49">
        <v>35.726999999999997</v>
      </c>
      <c r="G842" s="51" t="s">
        <v>152</v>
      </c>
    </row>
    <row r="843" spans="1:7" s="1" customFormat="1" ht="31.5">
      <c r="A843" s="114" t="s">
        <v>621</v>
      </c>
      <c r="B843" s="114" t="s">
        <v>620</v>
      </c>
      <c r="C843" s="51"/>
      <c r="D843" s="49">
        <v>45.951999999999998</v>
      </c>
      <c r="E843" s="49">
        <v>0</v>
      </c>
      <c r="F843" s="116">
        <v>0</v>
      </c>
      <c r="G843" s="115" t="s">
        <v>152</v>
      </c>
    </row>
    <row r="844" spans="1:7" s="1" customFormat="1" ht="31.5">
      <c r="A844" s="134" t="s">
        <v>619</v>
      </c>
      <c r="B844" s="134" t="s">
        <v>618</v>
      </c>
      <c r="C844" s="51" t="s">
        <v>153</v>
      </c>
      <c r="D844" s="49">
        <v>43.043999999999997</v>
      </c>
      <c r="E844" s="49">
        <v>43.043999999999997</v>
      </c>
      <c r="F844" s="49">
        <v>43.043999999999997</v>
      </c>
      <c r="G844" s="51" t="s">
        <v>558</v>
      </c>
    </row>
    <row r="845" spans="1:7" s="1" customFormat="1" ht="31.5">
      <c r="A845" s="114" t="s">
        <v>617</v>
      </c>
      <c r="B845" s="114" t="s">
        <v>616</v>
      </c>
      <c r="C845" s="51" t="s">
        <v>153</v>
      </c>
      <c r="D845" s="49">
        <v>890.99767999999995</v>
      </c>
      <c r="E845" s="49">
        <v>11.308</v>
      </c>
      <c r="F845" s="49">
        <v>11.308</v>
      </c>
      <c r="G845" s="51" t="s">
        <v>368</v>
      </c>
    </row>
    <row r="846" spans="1:7" s="1" customFormat="1" ht="31.5">
      <c r="A846" s="114" t="s">
        <v>615</v>
      </c>
      <c r="B846" s="114" t="s">
        <v>614</v>
      </c>
      <c r="C846" s="51" t="s">
        <v>153</v>
      </c>
      <c r="D846" s="49">
        <v>40.841000000000001</v>
      </c>
      <c r="E846" s="49">
        <v>40.841000000000001</v>
      </c>
      <c r="F846" s="49">
        <v>40.841000000000001</v>
      </c>
      <c r="G846" s="51" t="s">
        <v>152</v>
      </c>
    </row>
    <row r="847" spans="1:7" s="1" customFormat="1" ht="31.5">
      <c r="A847" s="114" t="s">
        <v>613</v>
      </c>
      <c r="B847" s="114" t="s">
        <v>612</v>
      </c>
      <c r="C847" s="51" t="s">
        <v>153</v>
      </c>
      <c r="D847" s="49">
        <v>49.817399999999999</v>
      </c>
      <c r="E847" s="49">
        <v>49.817399999999999</v>
      </c>
      <c r="F847" s="49">
        <v>49.817399999999999</v>
      </c>
      <c r="G847" s="51" t="s">
        <v>368</v>
      </c>
    </row>
    <row r="848" spans="1:7" s="1" customFormat="1" ht="31.5">
      <c r="A848" s="114" t="s">
        <v>611</v>
      </c>
      <c r="B848" s="114" t="s">
        <v>610</v>
      </c>
      <c r="C848" s="51" t="s">
        <v>153</v>
      </c>
      <c r="D848" s="49">
        <v>69.369399999999999</v>
      </c>
      <c r="E848" s="49">
        <v>69.369399999999999</v>
      </c>
      <c r="F848" s="49">
        <v>69.369399999999999</v>
      </c>
      <c r="G848" s="51" t="s">
        <v>368</v>
      </c>
    </row>
    <row r="849" spans="1:7" s="1" customFormat="1" ht="31.5">
      <c r="A849" s="114" t="s">
        <v>609</v>
      </c>
      <c r="B849" s="114" t="s">
        <v>608</v>
      </c>
      <c r="C849" s="51" t="s">
        <v>153</v>
      </c>
      <c r="D849" s="49">
        <v>376.6585</v>
      </c>
      <c r="E849" s="49">
        <v>19.184000000000001</v>
      </c>
      <c r="F849" s="49">
        <v>19.184000000000001</v>
      </c>
      <c r="G849" s="51" t="s">
        <v>152</v>
      </c>
    </row>
    <row r="850" spans="1:7" s="1" customFormat="1" ht="31.5">
      <c r="A850" s="114" t="s">
        <v>607</v>
      </c>
      <c r="B850" s="114" t="s">
        <v>606</v>
      </c>
      <c r="C850" s="51" t="s">
        <v>153</v>
      </c>
      <c r="D850" s="49">
        <v>72.853399999999993</v>
      </c>
      <c r="E850" s="49">
        <v>72.853399999999993</v>
      </c>
      <c r="F850" s="49">
        <v>72.853399999999993</v>
      </c>
      <c r="G850" s="51" t="s">
        <v>368</v>
      </c>
    </row>
    <row r="851" spans="1:7" s="1" customFormat="1" ht="31.5">
      <c r="A851" s="114" t="s">
        <v>605</v>
      </c>
      <c r="B851" s="114" t="s">
        <v>604</v>
      </c>
      <c r="C851" s="51" t="s">
        <v>153</v>
      </c>
      <c r="D851" s="49">
        <v>34.908999999999999</v>
      </c>
      <c r="E851" s="49">
        <v>34.908999999999999</v>
      </c>
      <c r="F851" s="49">
        <v>34.908999999999999</v>
      </c>
      <c r="G851" s="51" t="s">
        <v>368</v>
      </c>
    </row>
    <row r="852" spans="1:7" s="1" customFormat="1" ht="31.5">
      <c r="A852" s="132" t="s">
        <v>603</v>
      </c>
      <c r="B852" s="132" t="s">
        <v>602</v>
      </c>
      <c r="C852" s="51" t="s">
        <v>153</v>
      </c>
      <c r="D852" s="56">
        <v>904.83399999999995</v>
      </c>
      <c r="E852" s="56">
        <v>904.83399999999995</v>
      </c>
      <c r="F852" s="49">
        <v>37.654000000000003</v>
      </c>
      <c r="G852" s="51" t="s">
        <v>152</v>
      </c>
    </row>
    <row r="853" spans="1:7" s="1" customFormat="1">
      <c r="A853" s="130"/>
      <c r="B853" s="130"/>
      <c r="C853" s="93" t="s">
        <v>158</v>
      </c>
      <c r="D853" s="50"/>
      <c r="E853" s="50"/>
      <c r="F853" s="49">
        <v>867.18</v>
      </c>
      <c r="G853" s="51" t="s">
        <v>149</v>
      </c>
    </row>
    <row r="854" spans="1:7" s="1" customFormat="1" ht="31.5">
      <c r="A854" s="114" t="s">
        <v>601</v>
      </c>
      <c r="B854" s="114" t="s">
        <v>600</v>
      </c>
      <c r="C854" s="51"/>
      <c r="D854" s="49">
        <v>50</v>
      </c>
      <c r="E854" s="49">
        <v>0</v>
      </c>
      <c r="F854" s="49">
        <v>0</v>
      </c>
      <c r="G854" s="51"/>
    </row>
    <row r="855" spans="1:7" s="1" customFormat="1" ht="31.5">
      <c r="A855" s="132" t="s">
        <v>599</v>
      </c>
      <c r="B855" s="132" t="s">
        <v>598</v>
      </c>
      <c r="C855" s="93" t="s">
        <v>158</v>
      </c>
      <c r="D855" s="56">
        <v>977.83895999999982</v>
      </c>
      <c r="E855" s="56">
        <v>977.83895999999982</v>
      </c>
      <c r="F855" s="49">
        <v>915.81919000000005</v>
      </c>
      <c r="G855" s="51" t="s">
        <v>597</v>
      </c>
    </row>
    <row r="856" spans="1:7" s="1" customFormat="1">
      <c r="A856" s="130"/>
      <c r="B856" s="130"/>
      <c r="C856" s="51" t="s">
        <v>153</v>
      </c>
      <c r="D856" s="50"/>
      <c r="E856" s="50"/>
      <c r="F856" s="49">
        <v>39.664999999999999</v>
      </c>
      <c r="G856" s="51" t="s">
        <v>152</v>
      </c>
    </row>
    <row r="857" spans="1:7" s="1" customFormat="1" ht="31.5">
      <c r="A857" s="114" t="s">
        <v>596</v>
      </c>
      <c r="B857" s="114" t="s">
        <v>595</v>
      </c>
      <c r="C857" s="51" t="s">
        <v>153</v>
      </c>
      <c r="D857" s="49">
        <v>389.86599999999999</v>
      </c>
      <c r="E857" s="49">
        <v>23.655999999999999</v>
      </c>
      <c r="F857" s="49">
        <v>23.655999999999999</v>
      </c>
      <c r="G857" s="51" t="s">
        <v>152</v>
      </c>
    </row>
    <row r="858" spans="1:7" s="1" customFormat="1" ht="31.5">
      <c r="A858" s="114" t="s">
        <v>594</v>
      </c>
      <c r="B858" s="114" t="s">
        <v>593</v>
      </c>
      <c r="C858" s="51" t="s">
        <v>153</v>
      </c>
      <c r="D858" s="49">
        <v>1246.2429999999999</v>
      </c>
      <c r="E858" s="49">
        <v>42.859000000000002</v>
      </c>
      <c r="F858" s="49">
        <f>42.859</f>
        <v>42.859000000000002</v>
      </c>
      <c r="G858" s="51" t="s">
        <v>152</v>
      </c>
    </row>
    <row r="859" spans="1:7" s="1" customFormat="1" ht="31.5">
      <c r="A859" s="132" t="s">
        <v>592</v>
      </c>
      <c r="B859" s="132" t="s">
        <v>591</v>
      </c>
      <c r="C859" s="93" t="s">
        <v>158</v>
      </c>
      <c r="D859" s="56">
        <v>623.58900000000006</v>
      </c>
      <c r="E859" s="56">
        <v>623.58900000000006</v>
      </c>
      <c r="F859" s="49">
        <v>595.57500000000005</v>
      </c>
      <c r="G859" s="51" t="s">
        <v>588</v>
      </c>
    </row>
    <row r="860" spans="1:7" s="1" customFormat="1">
      <c r="A860" s="130"/>
      <c r="B860" s="130"/>
      <c r="C860" s="51" t="s">
        <v>153</v>
      </c>
      <c r="D860" s="50"/>
      <c r="E860" s="50"/>
      <c r="F860" s="49">
        <f>28.014</f>
        <v>28.013999999999999</v>
      </c>
      <c r="G860" s="51" t="s">
        <v>152</v>
      </c>
    </row>
    <row r="861" spans="1:7" s="1" customFormat="1" ht="31.5">
      <c r="A861" s="132" t="s">
        <v>590</v>
      </c>
      <c r="B861" s="132" t="s">
        <v>589</v>
      </c>
      <c r="C861" s="93" t="s">
        <v>158</v>
      </c>
      <c r="D861" s="56">
        <v>569.44371999999998</v>
      </c>
      <c r="E861" s="56">
        <v>569.44371999999998</v>
      </c>
      <c r="F861" s="49">
        <v>544.37271999999996</v>
      </c>
      <c r="G861" s="51" t="s">
        <v>588</v>
      </c>
    </row>
    <row r="862" spans="1:7" s="1" customFormat="1">
      <c r="A862" s="130"/>
      <c r="B862" s="130"/>
      <c r="C862" s="51" t="s">
        <v>153</v>
      </c>
      <c r="D862" s="50"/>
      <c r="E862" s="50"/>
      <c r="F862" s="49">
        <f>25.071</f>
        <v>25.071000000000002</v>
      </c>
      <c r="G862" s="51" t="s">
        <v>152</v>
      </c>
    </row>
    <row r="863" spans="1:7" s="1" customFormat="1" ht="31.5">
      <c r="A863" s="114" t="s">
        <v>587</v>
      </c>
      <c r="B863" s="114" t="s">
        <v>586</v>
      </c>
      <c r="C863" s="51" t="s">
        <v>153</v>
      </c>
      <c r="D863" s="49">
        <v>450</v>
      </c>
      <c r="E863" s="49">
        <v>41.371000000000002</v>
      </c>
      <c r="F863" s="49">
        <v>41.371000000000002</v>
      </c>
      <c r="G863" s="51" t="s">
        <v>368</v>
      </c>
    </row>
    <row r="864" spans="1:7" s="1" customFormat="1" ht="31.5">
      <c r="A864" s="132" t="s">
        <v>585</v>
      </c>
      <c r="B864" s="132" t="s">
        <v>584</v>
      </c>
      <c r="C864" s="93" t="s">
        <v>158</v>
      </c>
      <c r="D864" s="56">
        <v>629.71717999999998</v>
      </c>
      <c r="E864" s="56">
        <v>553.37717999999995</v>
      </c>
      <c r="F864" s="49">
        <v>366.29104999999998</v>
      </c>
      <c r="G864" s="51" t="s">
        <v>334</v>
      </c>
    </row>
    <row r="865" spans="1:7" s="1" customFormat="1">
      <c r="A865" s="130"/>
      <c r="B865" s="130"/>
      <c r="C865" s="51" t="s">
        <v>153</v>
      </c>
      <c r="D865" s="50"/>
      <c r="E865" s="50"/>
      <c r="F865" s="49">
        <f>28.812</f>
        <v>28.812000000000001</v>
      </c>
      <c r="G865" s="51" t="s">
        <v>152</v>
      </c>
    </row>
    <row r="866" spans="1:7" s="1" customFormat="1" ht="31.5" customHeight="1">
      <c r="A866" s="132" t="s">
        <v>583</v>
      </c>
      <c r="B866" s="119" t="s">
        <v>582</v>
      </c>
      <c r="C866" s="66" t="s">
        <v>158</v>
      </c>
      <c r="D866" s="56">
        <v>2373.4601200000002</v>
      </c>
      <c r="E866" s="56">
        <v>2280.3734899999999</v>
      </c>
      <c r="F866" s="56">
        <v>2280.3734899999999</v>
      </c>
      <c r="G866" s="66" t="s">
        <v>581</v>
      </c>
    </row>
    <row r="867" spans="1:7" s="1" customFormat="1">
      <c r="A867" s="130"/>
      <c r="B867" s="118"/>
      <c r="C867" s="64"/>
      <c r="D867" s="50"/>
      <c r="E867" s="50"/>
      <c r="F867" s="50"/>
      <c r="G867" s="64"/>
    </row>
    <row r="868" spans="1:7" s="1" customFormat="1" ht="31.5">
      <c r="A868" s="132" t="s">
        <v>580</v>
      </c>
      <c r="B868" s="132" t="s">
        <v>579</v>
      </c>
      <c r="C868" s="93" t="s">
        <v>158</v>
      </c>
      <c r="D868" s="56">
        <v>1276.9829999999999</v>
      </c>
      <c r="E868" s="56">
        <v>153.48666</v>
      </c>
      <c r="F868" s="75">
        <v>111.84666</v>
      </c>
      <c r="G868" s="133" t="s">
        <v>149</v>
      </c>
    </row>
    <row r="869" spans="1:7" s="1" customFormat="1">
      <c r="A869" s="130"/>
      <c r="B869" s="130"/>
      <c r="C869" s="51" t="s">
        <v>153</v>
      </c>
      <c r="D869" s="50"/>
      <c r="E869" s="50"/>
      <c r="F869" s="49">
        <f>41.64</f>
        <v>41.64</v>
      </c>
      <c r="G869" s="51" t="s">
        <v>152</v>
      </c>
    </row>
    <row r="870" spans="1:7" s="1" customFormat="1" ht="31.5">
      <c r="A870" s="132" t="s">
        <v>578</v>
      </c>
      <c r="B870" s="132" t="s">
        <v>577</v>
      </c>
      <c r="C870" s="93" t="s">
        <v>158</v>
      </c>
      <c r="D870" s="56">
        <v>1740.37823</v>
      </c>
      <c r="E870" s="56">
        <v>0</v>
      </c>
      <c r="F870" s="131">
        <v>0</v>
      </c>
      <c r="G870" s="115" t="s">
        <v>558</v>
      </c>
    </row>
    <row r="871" spans="1:7" s="1" customFormat="1">
      <c r="A871" s="130"/>
      <c r="B871" s="130"/>
      <c r="C871" s="51" t="s">
        <v>153</v>
      </c>
      <c r="D871" s="50"/>
      <c r="E871" s="50"/>
      <c r="F871" s="129"/>
      <c r="G871" s="115" t="s">
        <v>402</v>
      </c>
    </row>
    <row r="872" spans="1:7" s="1" customFormat="1" ht="31.5">
      <c r="A872" s="114" t="s">
        <v>576</v>
      </c>
      <c r="B872" s="114" t="s">
        <v>575</v>
      </c>
      <c r="C872" s="93" t="s">
        <v>158</v>
      </c>
      <c r="D872" s="49">
        <v>1026.31792</v>
      </c>
      <c r="E872" s="49">
        <v>1026.31792</v>
      </c>
      <c r="F872" s="49">
        <v>355.28098999999997</v>
      </c>
      <c r="G872" s="51" t="s">
        <v>370</v>
      </c>
    </row>
    <row r="873" spans="1:7" s="1" customFormat="1" ht="31.5">
      <c r="A873" s="132" t="s">
        <v>574</v>
      </c>
      <c r="B873" s="132" t="s">
        <v>573</v>
      </c>
      <c r="C873" s="93" t="s">
        <v>158</v>
      </c>
      <c r="D873" s="56">
        <v>1529.5640000000001</v>
      </c>
      <c r="E873" s="56">
        <v>0</v>
      </c>
      <c r="F873" s="131">
        <v>0</v>
      </c>
      <c r="G873" s="115" t="s">
        <v>558</v>
      </c>
    </row>
    <row r="874" spans="1:7" s="1" customFormat="1">
      <c r="A874" s="130"/>
      <c r="B874" s="130"/>
      <c r="C874" s="51" t="s">
        <v>153</v>
      </c>
      <c r="D874" s="50"/>
      <c r="E874" s="50"/>
      <c r="F874" s="129"/>
      <c r="G874" s="115" t="s">
        <v>572</v>
      </c>
    </row>
    <row r="875" spans="1:7" s="1" customFormat="1" ht="31.5">
      <c r="A875" s="114" t="s">
        <v>571</v>
      </c>
      <c r="B875" s="114" t="s">
        <v>570</v>
      </c>
      <c r="C875" s="93" t="s">
        <v>158</v>
      </c>
      <c r="D875" s="49">
        <v>200</v>
      </c>
      <c r="E875" s="49">
        <v>0</v>
      </c>
      <c r="F875" s="116">
        <v>0</v>
      </c>
      <c r="G875" s="115" t="s">
        <v>569</v>
      </c>
    </row>
    <row r="876" spans="1:7" s="1" customFormat="1" ht="47.25">
      <c r="A876" s="114" t="s">
        <v>568</v>
      </c>
      <c r="B876" s="114" t="s">
        <v>568</v>
      </c>
      <c r="C876" s="51"/>
      <c r="D876" s="49">
        <v>295.1626</v>
      </c>
      <c r="E876" s="49">
        <v>202.1626</v>
      </c>
      <c r="F876" s="49">
        <v>202.1626</v>
      </c>
      <c r="G876" s="51"/>
    </row>
    <row r="877" spans="1:7" s="1" customFormat="1" ht="31.5">
      <c r="A877" s="114" t="s">
        <v>567</v>
      </c>
      <c r="B877" s="114" t="s">
        <v>567</v>
      </c>
      <c r="C877" s="51" t="s">
        <v>153</v>
      </c>
      <c r="D877" s="49">
        <v>52.728000000000002</v>
      </c>
      <c r="E877" s="49">
        <v>52.728000000000002</v>
      </c>
      <c r="F877" s="49">
        <v>52.728000000000002</v>
      </c>
      <c r="G877" s="51" t="s">
        <v>152</v>
      </c>
    </row>
    <row r="878" spans="1:7" s="1" customFormat="1" ht="31.5">
      <c r="A878" s="114" t="s">
        <v>566</v>
      </c>
      <c r="B878" s="114" t="s">
        <v>566</v>
      </c>
      <c r="C878" s="51" t="s">
        <v>153</v>
      </c>
      <c r="D878" s="49">
        <v>24.42</v>
      </c>
      <c r="E878" s="49">
        <v>24.42</v>
      </c>
      <c r="F878" s="49">
        <v>24.42</v>
      </c>
      <c r="G878" s="51" t="s">
        <v>565</v>
      </c>
    </row>
    <row r="879" spans="1:7" s="1" customFormat="1" ht="31.5">
      <c r="A879" s="114" t="s">
        <v>564</v>
      </c>
      <c r="B879" s="114" t="s">
        <v>564</v>
      </c>
      <c r="C879" s="51" t="s">
        <v>153</v>
      </c>
      <c r="D879" s="49">
        <v>38.838000000000001</v>
      </c>
      <c r="E879" s="49">
        <v>38.838000000000001</v>
      </c>
      <c r="F879" s="49">
        <v>38.838000000000001</v>
      </c>
      <c r="G879" s="51" t="s">
        <v>563</v>
      </c>
    </row>
    <row r="880" spans="1:7" s="1" customFormat="1" ht="31.5">
      <c r="A880" s="114" t="s">
        <v>562</v>
      </c>
      <c r="B880" s="114" t="s">
        <v>562</v>
      </c>
      <c r="C880" s="51" t="s">
        <v>153</v>
      </c>
      <c r="D880" s="49">
        <v>43.875</v>
      </c>
      <c r="E880" s="49">
        <v>43.875</v>
      </c>
      <c r="F880" s="49">
        <v>43.875</v>
      </c>
      <c r="G880" s="51" t="s">
        <v>152</v>
      </c>
    </row>
    <row r="881" spans="1:7" s="1" customFormat="1" ht="31.5">
      <c r="A881" s="114" t="s">
        <v>561</v>
      </c>
      <c r="B881" s="114" t="s">
        <v>561</v>
      </c>
      <c r="C881" s="51" t="s">
        <v>153</v>
      </c>
      <c r="D881" s="49">
        <v>45</v>
      </c>
      <c r="E881" s="49">
        <v>0</v>
      </c>
      <c r="F881" s="49">
        <v>0</v>
      </c>
      <c r="G881" s="51"/>
    </row>
    <row r="882" spans="1:7" s="1" customFormat="1" ht="31.5">
      <c r="A882" s="114" t="s">
        <v>560</v>
      </c>
      <c r="B882" s="114" t="s">
        <v>560</v>
      </c>
      <c r="C882" s="51" t="s">
        <v>153</v>
      </c>
      <c r="D882" s="49">
        <v>48</v>
      </c>
      <c r="E882" s="49">
        <v>0</v>
      </c>
      <c r="F882" s="49">
        <v>0</v>
      </c>
      <c r="G882" s="51"/>
    </row>
    <row r="883" spans="1:7" s="1" customFormat="1" ht="31.5">
      <c r="A883" s="114" t="s">
        <v>559</v>
      </c>
      <c r="B883" s="114" t="s">
        <v>559</v>
      </c>
      <c r="C883" s="51" t="s">
        <v>153</v>
      </c>
      <c r="D883" s="49">
        <v>42.301600000000001</v>
      </c>
      <c r="E883" s="49">
        <v>42.301600000000001</v>
      </c>
      <c r="F883" s="49">
        <v>42.301600000000001</v>
      </c>
      <c r="G883" s="51" t="s">
        <v>558</v>
      </c>
    </row>
    <row r="884" spans="1:7" s="1" customFormat="1" ht="47.25">
      <c r="A884" s="61" t="s">
        <v>557</v>
      </c>
      <c r="B884" s="61" t="s">
        <v>557</v>
      </c>
      <c r="C884" s="61" t="s">
        <v>158</v>
      </c>
      <c r="D884" s="110">
        <v>2923.4458300000001</v>
      </c>
      <c r="E884" s="110">
        <v>515.06988000000001</v>
      </c>
      <c r="F884" s="110">
        <v>515.06988000000001</v>
      </c>
      <c r="G884" s="61" t="s">
        <v>556</v>
      </c>
    </row>
    <row r="885" spans="1:7" s="1" customFormat="1" ht="31.5">
      <c r="A885" s="61" t="s">
        <v>555</v>
      </c>
      <c r="B885" s="61" t="s">
        <v>555</v>
      </c>
      <c r="C885" s="61" t="s">
        <v>158</v>
      </c>
      <c r="D885" s="49">
        <v>2033.558</v>
      </c>
      <c r="E885" s="49">
        <v>0</v>
      </c>
      <c r="F885" s="116">
        <v>0</v>
      </c>
      <c r="G885" s="115" t="s">
        <v>447</v>
      </c>
    </row>
    <row r="886" spans="1:7" s="1" customFormat="1" ht="31.5">
      <c r="A886" s="125" t="s">
        <v>554</v>
      </c>
      <c r="B886" s="125" t="s">
        <v>554</v>
      </c>
      <c r="C886" s="61" t="s">
        <v>158</v>
      </c>
      <c r="D886" s="56">
        <v>1570.21012</v>
      </c>
      <c r="E886" s="56">
        <v>1570.21012</v>
      </c>
      <c r="F886" s="49">
        <v>1530.97612</v>
      </c>
      <c r="G886" s="51" t="s">
        <v>390</v>
      </c>
    </row>
    <row r="887" spans="1:7" s="1" customFormat="1">
      <c r="A887" s="124"/>
      <c r="B887" s="124"/>
      <c r="C887" s="51" t="s">
        <v>153</v>
      </c>
      <c r="D887" s="50"/>
      <c r="E887" s="50"/>
      <c r="F887" s="49">
        <v>39.233969999999999</v>
      </c>
      <c r="G887" s="51" t="s">
        <v>385</v>
      </c>
    </row>
    <row r="888" spans="1:7" s="1" customFormat="1" ht="31.5">
      <c r="A888" s="61" t="s">
        <v>553</v>
      </c>
      <c r="B888" s="61" t="s">
        <v>553</v>
      </c>
      <c r="C888" s="51" t="s">
        <v>158</v>
      </c>
      <c r="D888" s="49">
        <v>4669.6517999999996</v>
      </c>
      <c r="E888" s="49">
        <v>4669.6517999999996</v>
      </c>
      <c r="F888" s="49">
        <v>4669.6517999999996</v>
      </c>
      <c r="G888" s="51" t="s">
        <v>552</v>
      </c>
    </row>
    <row r="889" spans="1:7" s="1" customFormat="1" ht="31.5">
      <c r="A889" s="61" t="s">
        <v>551</v>
      </c>
      <c r="B889" s="61" t="s">
        <v>551</v>
      </c>
      <c r="C889" s="51" t="s">
        <v>158</v>
      </c>
      <c r="D889" s="49">
        <v>2677.5344999999998</v>
      </c>
      <c r="E889" s="49">
        <v>511.18553000000003</v>
      </c>
      <c r="F889" s="49">
        <v>511.18553000000003</v>
      </c>
      <c r="G889" s="51" t="s">
        <v>550</v>
      </c>
    </row>
    <row r="890" spans="1:7" s="1" customFormat="1" ht="31.5">
      <c r="A890" s="61" t="s">
        <v>549</v>
      </c>
      <c r="B890" s="61" t="s">
        <v>549</v>
      </c>
      <c r="C890" s="51" t="s">
        <v>504</v>
      </c>
      <c r="D890" s="49">
        <v>50</v>
      </c>
      <c r="E890" s="49">
        <v>50</v>
      </c>
      <c r="F890" s="49">
        <v>48.966119999999997</v>
      </c>
      <c r="G890" s="51" t="s">
        <v>548</v>
      </c>
    </row>
    <row r="891" spans="1:7" s="1" customFormat="1" ht="31.5">
      <c r="A891" s="61" t="s">
        <v>547</v>
      </c>
      <c r="B891" s="61" t="s">
        <v>547</v>
      </c>
      <c r="C891" s="51" t="s">
        <v>158</v>
      </c>
      <c r="D891" s="49">
        <v>13.432169999999999</v>
      </c>
      <c r="E891" s="49">
        <v>0</v>
      </c>
      <c r="F891" s="49">
        <v>0</v>
      </c>
      <c r="G891" s="51"/>
    </row>
    <row r="892" spans="1:7" s="1" customFormat="1" ht="31.5">
      <c r="A892" s="61" t="s">
        <v>546</v>
      </c>
      <c r="B892" s="61" t="s">
        <v>546</v>
      </c>
      <c r="C892" s="51" t="s">
        <v>158</v>
      </c>
      <c r="D892" s="49">
        <v>14.1853</v>
      </c>
      <c r="E892" s="49">
        <v>0</v>
      </c>
      <c r="F892" s="49">
        <v>0</v>
      </c>
      <c r="G892" s="51"/>
    </row>
    <row r="893" spans="1:7" s="1" customFormat="1" ht="31.5">
      <c r="A893" s="61" t="s">
        <v>545</v>
      </c>
      <c r="B893" s="61" t="s">
        <v>545</v>
      </c>
      <c r="C893" s="51" t="s">
        <v>158</v>
      </c>
      <c r="D893" s="49">
        <v>10.68802</v>
      </c>
      <c r="E893" s="49">
        <v>0</v>
      </c>
      <c r="F893" s="116">
        <v>0</v>
      </c>
      <c r="G893" s="115" t="s">
        <v>530</v>
      </c>
    </row>
    <row r="894" spans="1:7" s="1" customFormat="1" ht="47.25">
      <c r="A894" s="61" t="s">
        <v>544</v>
      </c>
      <c r="B894" s="61" t="s">
        <v>544</v>
      </c>
      <c r="C894" s="51" t="s">
        <v>158</v>
      </c>
      <c r="D894" s="49">
        <v>11.672330000000001</v>
      </c>
      <c r="E894" s="49">
        <v>0</v>
      </c>
      <c r="F894" s="116">
        <v>0</v>
      </c>
      <c r="G894" s="115" t="s">
        <v>530</v>
      </c>
    </row>
    <row r="895" spans="1:7" s="1" customFormat="1" ht="47.25">
      <c r="A895" s="61" t="s">
        <v>543</v>
      </c>
      <c r="B895" s="61" t="s">
        <v>543</v>
      </c>
      <c r="C895" s="51" t="s">
        <v>158</v>
      </c>
      <c r="D895" s="49">
        <v>5.4463600000000003</v>
      </c>
      <c r="E895" s="49">
        <v>0</v>
      </c>
      <c r="F895" s="49">
        <v>0</v>
      </c>
      <c r="G895" s="51"/>
    </row>
    <row r="896" spans="1:7" s="1" customFormat="1" ht="47.25">
      <c r="A896" s="61" t="s">
        <v>542</v>
      </c>
      <c r="B896" s="61" t="s">
        <v>542</v>
      </c>
      <c r="C896" s="51" t="s">
        <v>158</v>
      </c>
      <c r="D896" s="49">
        <v>6.4448600000000003</v>
      </c>
      <c r="E896" s="49">
        <v>0</v>
      </c>
      <c r="F896" s="49">
        <v>0</v>
      </c>
      <c r="G896" s="51"/>
    </row>
    <row r="897" spans="1:7" s="1" customFormat="1" ht="31.5">
      <c r="A897" s="61" t="s">
        <v>541</v>
      </c>
      <c r="B897" s="61" t="s">
        <v>541</v>
      </c>
      <c r="C897" s="51" t="s">
        <v>158</v>
      </c>
      <c r="D897" s="49">
        <v>16.363900000000001</v>
      </c>
      <c r="E897" s="49">
        <v>0</v>
      </c>
      <c r="F897" s="116">
        <v>0</v>
      </c>
      <c r="G897" s="115" t="s">
        <v>530</v>
      </c>
    </row>
    <row r="898" spans="1:7" s="1" customFormat="1" ht="31.5">
      <c r="A898" s="61" t="s">
        <v>540</v>
      </c>
      <c r="B898" s="61" t="s">
        <v>540</v>
      </c>
      <c r="C898" s="51" t="s">
        <v>158</v>
      </c>
      <c r="D898" s="49">
        <v>24.83267</v>
      </c>
      <c r="E898" s="49">
        <v>17.347170000000002</v>
      </c>
      <c r="F898" s="49">
        <v>17.347170000000002</v>
      </c>
      <c r="G898" s="51" t="s">
        <v>530</v>
      </c>
    </row>
    <row r="899" spans="1:7" s="1" customFormat="1" ht="31.5">
      <c r="A899" s="61" t="s">
        <v>539</v>
      </c>
      <c r="B899" s="61" t="s">
        <v>539</v>
      </c>
      <c r="C899" s="51" t="s">
        <v>158</v>
      </c>
      <c r="D899" s="49">
        <v>13.92436</v>
      </c>
      <c r="E899" s="49">
        <v>8.4582599999999992</v>
      </c>
      <c r="F899" s="49">
        <v>8.4582599999999992</v>
      </c>
      <c r="G899" s="51" t="s">
        <v>530</v>
      </c>
    </row>
    <row r="900" spans="1:7" s="1" customFormat="1" ht="31.5">
      <c r="A900" s="61" t="s">
        <v>538</v>
      </c>
      <c r="B900" s="61" t="s">
        <v>538</v>
      </c>
      <c r="C900" s="51" t="s">
        <v>158</v>
      </c>
      <c r="D900" s="49">
        <v>13.82855</v>
      </c>
      <c r="E900" s="49">
        <v>8.4</v>
      </c>
      <c r="F900" s="49">
        <v>8.4</v>
      </c>
      <c r="G900" s="51" t="s">
        <v>530</v>
      </c>
    </row>
    <row r="901" spans="1:7" s="1" customFormat="1" ht="47.25">
      <c r="A901" s="61" t="s">
        <v>537</v>
      </c>
      <c r="B901" s="61" t="s">
        <v>537</v>
      </c>
      <c r="C901" s="51" t="s">
        <v>158</v>
      </c>
      <c r="D901" s="49">
        <v>16.875929999999997</v>
      </c>
      <c r="E901" s="49">
        <v>10.482240000000001</v>
      </c>
      <c r="F901" s="49">
        <v>10.482240000000001</v>
      </c>
      <c r="G901" s="51" t="s">
        <v>530</v>
      </c>
    </row>
    <row r="902" spans="1:7" s="1" customFormat="1" ht="31.5">
      <c r="A902" s="61" t="s">
        <v>536</v>
      </c>
      <c r="B902" s="61" t="s">
        <v>536</v>
      </c>
      <c r="C902" s="51" t="s">
        <v>158</v>
      </c>
      <c r="D902" s="49">
        <v>17.449809999999999</v>
      </c>
      <c r="E902" s="49">
        <v>10.0465</v>
      </c>
      <c r="F902" s="49">
        <v>10.0465</v>
      </c>
      <c r="G902" s="51" t="s">
        <v>530</v>
      </c>
    </row>
    <row r="903" spans="1:7" s="1" customFormat="1" ht="31.5">
      <c r="A903" s="61" t="s">
        <v>535</v>
      </c>
      <c r="B903" s="61" t="s">
        <v>535</v>
      </c>
      <c r="C903" s="51" t="s">
        <v>158</v>
      </c>
      <c r="D903" s="49">
        <v>17.449809999999999</v>
      </c>
      <c r="E903" s="49">
        <v>10.0465</v>
      </c>
      <c r="F903" s="49">
        <v>10.0465</v>
      </c>
      <c r="G903" s="51" t="s">
        <v>530</v>
      </c>
    </row>
    <row r="904" spans="1:7" s="1" customFormat="1" ht="31.5">
      <c r="A904" s="61" t="s">
        <v>534</v>
      </c>
      <c r="B904" s="61" t="s">
        <v>534</v>
      </c>
      <c r="C904" s="51" t="s">
        <v>158</v>
      </c>
      <c r="D904" s="49">
        <v>19.322849999999999</v>
      </c>
      <c r="E904" s="49">
        <v>11.11608</v>
      </c>
      <c r="F904" s="49">
        <v>11.11608</v>
      </c>
      <c r="G904" s="51" t="s">
        <v>530</v>
      </c>
    </row>
    <row r="905" spans="1:7" s="1" customFormat="1" ht="31.5">
      <c r="A905" s="61" t="s">
        <v>533</v>
      </c>
      <c r="B905" s="61" t="s">
        <v>533</v>
      </c>
      <c r="C905" s="51" t="s">
        <v>158</v>
      </c>
      <c r="D905" s="49">
        <v>23.74832</v>
      </c>
      <c r="E905" s="49">
        <v>13.27492</v>
      </c>
      <c r="F905" s="49">
        <v>13.27492</v>
      </c>
      <c r="G905" s="51" t="s">
        <v>530</v>
      </c>
    </row>
    <row r="906" spans="1:7" s="1" customFormat="1" ht="47.25">
      <c r="A906" s="61" t="s">
        <v>532</v>
      </c>
      <c r="B906" s="61" t="s">
        <v>532</v>
      </c>
      <c r="C906" s="51" t="s">
        <v>158</v>
      </c>
      <c r="D906" s="49">
        <v>17.82282</v>
      </c>
      <c r="E906" s="49">
        <v>9.0541599999999995</v>
      </c>
      <c r="F906" s="49">
        <v>9.0541599999999995</v>
      </c>
      <c r="G906" s="51" t="s">
        <v>530</v>
      </c>
    </row>
    <row r="907" spans="1:7" s="1" customFormat="1" ht="47.25">
      <c r="A907" s="61" t="s">
        <v>531</v>
      </c>
      <c r="B907" s="61" t="s">
        <v>531</v>
      </c>
      <c r="C907" s="51" t="s">
        <v>158</v>
      </c>
      <c r="D907" s="49">
        <v>8.4867699999999999</v>
      </c>
      <c r="E907" s="49">
        <v>5.9284499999999998</v>
      </c>
      <c r="F907" s="49">
        <v>5.9284499999999998</v>
      </c>
      <c r="G907" s="51" t="s">
        <v>530</v>
      </c>
    </row>
    <row r="908" spans="1:7" s="1" customFormat="1" ht="78.75">
      <c r="A908" s="61" t="s">
        <v>529</v>
      </c>
      <c r="B908" s="61" t="s">
        <v>529</v>
      </c>
      <c r="C908" s="51" t="s">
        <v>160</v>
      </c>
      <c r="D908" s="49">
        <v>31.297550000000001</v>
      </c>
      <c r="E908" s="49">
        <v>0.58255999999999997</v>
      </c>
      <c r="F908" s="49">
        <v>0.58255999999999997</v>
      </c>
      <c r="G908" s="51" t="s">
        <v>159</v>
      </c>
    </row>
    <row r="909" spans="1:7" s="1" customFormat="1" ht="78.75">
      <c r="A909" s="61" t="s">
        <v>528</v>
      </c>
      <c r="B909" s="61" t="s">
        <v>528</v>
      </c>
      <c r="C909" s="51" t="s">
        <v>160</v>
      </c>
      <c r="D909" s="49">
        <v>23.362459999999999</v>
      </c>
      <c r="E909" s="49">
        <v>0.43321999999999999</v>
      </c>
      <c r="F909" s="49">
        <v>0.43321999999999999</v>
      </c>
      <c r="G909" s="51" t="s">
        <v>159</v>
      </c>
    </row>
    <row r="910" spans="1:7" s="1" customFormat="1" ht="78.75">
      <c r="A910" s="61" t="s">
        <v>527</v>
      </c>
      <c r="B910" s="61" t="s">
        <v>527</v>
      </c>
      <c r="C910" s="51" t="s">
        <v>160</v>
      </c>
      <c r="D910" s="49">
        <v>30.84216</v>
      </c>
      <c r="E910" s="49">
        <v>0.58204999999999996</v>
      </c>
      <c r="F910" s="49">
        <v>0.58204999999999996</v>
      </c>
      <c r="G910" s="51" t="s">
        <v>159</v>
      </c>
    </row>
    <row r="911" spans="1:7" s="1" customFormat="1" ht="78.75">
      <c r="A911" s="61" t="s">
        <v>526</v>
      </c>
      <c r="B911" s="61" t="s">
        <v>526</v>
      </c>
      <c r="C911" s="51" t="s">
        <v>160</v>
      </c>
      <c r="D911" s="49">
        <v>4.5965999999999996</v>
      </c>
      <c r="E911" s="49">
        <v>6.8199999999999997E-2</v>
      </c>
      <c r="F911" s="49">
        <v>6.8199999999999997E-2</v>
      </c>
      <c r="G911" s="51" t="s">
        <v>159</v>
      </c>
    </row>
    <row r="912" spans="1:7" s="1" customFormat="1" ht="78.75">
      <c r="A912" s="61" t="s">
        <v>525</v>
      </c>
      <c r="B912" s="61" t="s">
        <v>525</v>
      </c>
      <c r="C912" s="51" t="s">
        <v>160</v>
      </c>
      <c r="D912" s="49">
        <v>32.057459999999999</v>
      </c>
      <c r="E912" s="49">
        <v>0.17954999999999999</v>
      </c>
      <c r="F912" s="49">
        <v>0.17954999999999999</v>
      </c>
      <c r="G912" s="51" t="s">
        <v>159</v>
      </c>
    </row>
    <row r="913" spans="1:7" s="1" customFormat="1" ht="78.75">
      <c r="A913" s="61" t="s">
        <v>524</v>
      </c>
      <c r="B913" s="61" t="s">
        <v>524</v>
      </c>
      <c r="C913" s="51" t="s">
        <v>160</v>
      </c>
      <c r="D913" s="49">
        <v>33.164159999999995</v>
      </c>
      <c r="E913" s="49">
        <v>0.61739999999999995</v>
      </c>
      <c r="F913" s="49">
        <v>0.61739999999999995</v>
      </c>
      <c r="G913" s="51" t="s">
        <v>159</v>
      </c>
    </row>
    <row r="914" spans="1:7" s="1" customFormat="1" ht="78.75">
      <c r="A914" s="61" t="s">
        <v>523</v>
      </c>
      <c r="B914" s="61" t="s">
        <v>523</v>
      </c>
      <c r="C914" s="51" t="s">
        <v>160</v>
      </c>
      <c r="D914" s="49">
        <v>10.44313</v>
      </c>
      <c r="E914" s="49">
        <v>0.19106000000000001</v>
      </c>
      <c r="F914" s="49">
        <v>0.19106000000000001</v>
      </c>
      <c r="G914" s="51" t="s">
        <v>159</v>
      </c>
    </row>
    <row r="915" spans="1:7" s="1" customFormat="1" ht="78.75">
      <c r="A915" s="61" t="s">
        <v>522</v>
      </c>
      <c r="B915" s="61" t="s">
        <v>522</v>
      </c>
      <c r="C915" s="51" t="s">
        <v>160</v>
      </c>
      <c r="D915" s="49">
        <v>21.297129999999999</v>
      </c>
      <c r="E915" s="49">
        <v>0.39648</v>
      </c>
      <c r="F915" s="49">
        <v>0.39648</v>
      </c>
      <c r="G915" s="51" t="s">
        <v>159</v>
      </c>
    </row>
    <row r="916" spans="1:7" s="1" customFormat="1" ht="78.75">
      <c r="A916" s="61" t="s">
        <v>521</v>
      </c>
      <c r="B916" s="61" t="s">
        <v>521</v>
      </c>
      <c r="C916" s="51" t="s">
        <v>160</v>
      </c>
      <c r="D916" s="49">
        <v>16.532820000000001</v>
      </c>
      <c r="E916" s="49">
        <v>0.30787999999999999</v>
      </c>
      <c r="F916" s="49">
        <v>0.30787999999999999</v>
      </c>
      <c r="G916" s="51" t="s">
        <v>159</v>
      </c>
    </row>
    <row r="917" spans="1:7" s="1" customFormat="1" ht="78.75">
      <c r="A917" s="61" t="s">
        <v>520</v>
      </c>
      <c r="B917" s="61" t="s">
        <v>520</v>
      </c>
      <c r="C917" s="51" t="s">
        <v>160</v>
      </c>
      <c r="D917" s="49">
        <v>33.963440000000006</v>
      </c>
      <c r="E917" s="49">
        <v>0.62468999999999997</v>
      </c>
      <c r="F917" s="49">
        <v>0.62468999999999997</v>
      </c>
      <c r="G917" s="51" t="s">
        <v>159</v>
      </c>
    </row>
    <row r="918" spans="1:7" s="1" customFormat="1" ht="78.75">
      <c r="A918" s="61" t="s">
        <v>519</v>
      </c>
      <c r="B918" s="61" t="s">
        <v>519</v>
      </c>
      <c r="C918" s="51" t="s">
        <v>160</v>
      </c>
      <c r="D918" s="49">
        <v>31.069739999999999</v>
      </c>
      <c r="E918" s="49">
        <v>0.57899</v>
      </c>
      <c r="F918" s="49">
        <v>0.57899</v>
      </c>
      <c r="G918" s="51" t="s">
        <v>159</v>
      </c>
    </row>
    <row r="919" spans="1:7" s="1" customFormat="1" ht="78.75">
      <c r="A919" s="61" t="s">
        <v>518</v>
      </c>
      <c r="B919" s="61" t="s">
        <v>518</v>
      </c>
      <c r="C919" s="51" t="s">
        <v>160</v>
      </c>
      <c r="D919" s="49">
        <v>17.843829999999997</v>
      </c>
      <c r="E919" s="49">
        <v>0.33206000000000002</v>
      </c>
      <c r="F919" s="49">
        <v>0.33206000000000002</v>
      </c>
      <c r="G919" s="51" t="s">
        <v>159</v>
      </c>
    </row>
    <row r="920" spans="1:7" s="1" customFormat="1" ht="78.75">
      <c r="A920" s="61" t="s">
        <v>517</v>
      </c>
      <c r="B920" s="61" t="s">
        <v>517</v>
      </c>
      <c r="C920" s="51" t="s">
        <v>160</v>
      </c>
      <c r="D920" s="49">
        <v>34.847159999999995</v>
      </c>
      <c r="E920" s="49">
        <v>0.64900999999999998</v>
      </c>
      <c r="F920" s="49">
        <v>0.64900999999999998</v>
      </c>
      <c r="G920" s="51" t="s">
        <v>159</v>
      </c>
    </row>
    <row r="921" spans="1:7" s="1" customFormat="1" ht="78.75">
      <c r="A921" s="61" t="s">
        <v>516</v>
      </c>
      <c r="B921" s="61" t="s">
        <v>516</v>
      </c>
      <c r="C921" s="51" t="s">
        <v>160</v>
      </c>
      <c r="D921" s="49">
        <v>21.297129999999999</v>
      </c>
      <c r="E921" s="49">
        <v>0.39648</v>
      </c>
      <c r="F921" s="49">
        <v>0.39648</v>
      </c>
      <c r="G921" s="51" t="s">
        <v>159</v>
      </c>
    </row>
    <row r="922" spans="1:7" s="1" customFormat="1" ht="78.75">
      <c r="A922" s="61" t="s">
        <v>515</v>
      </c>
      <c r="B922" s="61" t="s">
        <v>515</v>
      </c>
      <c r="C922" s="51" t="s">
        <v>160</v>
      </c>
      <c r="D922" s="49">
        <v>9.2266399999999997</v>
      </c>
      <c r="E922" s="49">
        <v>0.17130000000000001</v>
      </c>
      <c r="F922" s="49">
        <v>0.17130000000000001</v>
      </c>
      <c r="G922" s="51" t="s">
        <v>159</v>
      </c>
    </row>
    <row r="923" spans="1:7" s="1" customFormat="1" ht="78.75">
      <c r="A923" s="61" t="s">
        <v>514</v>
      </c>
      <c r="B923" s="61" t="s">
        <v>514</v>
      </c>
      <c r="C923" s="51" t="s">
        <v>160</v>
      </c>
      <c r="D923" s="49">
        <v>30.10033</v>
      </c>
      <c r="E923" s="49">
        <v>0.41815999999999998</v>
      </c>
      <c r="F923" s="49">
        <v>0.41815999999999998</v>
      </c>
      <c r="G923" s="51" t="s">
        <v>159</v>
      </c>
    </row>
    <row r="924" spans="1:7" s="1" customFormat="1" ht="78.75">
      <c r="A924" s="61" t="s">
        <v>513</v>
      </c>
      <c r="B924" s="61" t="s">
        <v>513</v>
      </c>
      <c r="C924" s="51" t="s">
        <v>160</v>
      </c>
      <c r="D924" s="49">
        <v>31.221019999999999</v>
      </c>
      <c r="E924" s="49">
        <v>0.57943999999999996</v>
      </c>
      <c r="F924" s="49">
        <v>0.57943999999999996</v>
      </c>
      <c r="G924" s="51" t="s">
        <v>159</v>
      </c>
    </row>
    <row r="925" spans="1:7" s="1" customFormat="1" ht="78.75">
      <c r="A925" s="61" t="s">
        <v>512</v>
      </c>
      <c r="B925" s="61" t="s">
        <v>512</v>
      </c>
      <c r="C925" s="51" t="s">
        <v>160</v>
      </c>
      <c r="D925" s="49">
        <v>33.472680000000004</v>
      </c>
      <c r="E925" s="49">
        <v>0.62078</v>
      </c>
      <c r="F925" s="49">
        <v>0.62078</v>
      </c>
      <c r="G925" s="51" t="s">
        <v>159</v>
      </c>
    </row>
    <row r="926" spans="1:7" s="1" customFormat="1" ht="78.75">
      <c r="A926" s="61" t="s">
        <v>511</v>
      </c>
      <c r="B926" s="61" t="s">
        <v>511</v>
      </c>
      <c r="C926" s="51" t="s">
        <v>160</v>
      </c>
      <c r="D926" s="49">
        <v>25.451530000000002</v>
      </c>
      <c r="E926" s="49">
        <v>0.47192000000000001</v>
      </c>
      <c r="F926" s="49">
        <v>0.47192000000000001</v>
      </c>
      <c r="G926" s="51" t="s">
        <v>159</v>
      </c>
    </row>
    <row r="927" spans="1:7" s="1" customFormat="1" ht="78.75">
      <c r="A927" s="61" t="s">
        <v>510</v>
      </c>
      <c r="B927" s="61" t="s">
        <v>510</v>
      </c>
      <c r="C927" s="51" t="s">
        <v>160</v>
      </c>
      <c r="D927" s="49">
        <v>1.0804800000000001</v>
      </c>
      <c r="E927" s="49">
        <v>0</v>
      </c>
      <c r="F927" s="116">
        <v>0</v>
      </c>
      <c r="G927" s="115" t="s">
        <v>159</v>
      </c>
    </row>
    <row r="928" spans="1:7" s="1" customFormat="1" ht="78.75">
      <c r="A928" s="61" t="s">
        <v>509</v>
      </c>
      <c r="B928" s="61" t="s">
        <v>509</v>
      </c>
      <c r="C928" s="51" t="s">
        <v>160</v>
      </c>
      <c r="D928" s="49">
        <v>2.0829200000000001</v>
      </c>
      <c r="E928" s="49">
        <v>3.9059999999999997E-2</v>
      </c>
      <c r="F928" s="49">
        <v>3.9059999999999997E-2</v>
      </c>
      <c r="G928" s="51" t="s">
        <v>159</v>
      </c>
    </row>
    <row r="929" spans="1:7" s="1" customFormat="1" ht="47.25">
      <c r="A929" s="114" t="s">
        <v>508</v>
      </c>
      <c r="B929" s="114" t="s">
        <v>508</v>
      </c>
      <c r="C929" s="51"/>
      <c r="D929" s="49">
        <v>1528.0812599999999</v>
      </c>
      <c r="E929" s="49">
        <v>75.586799999999997</v>
      </c>
      <c r="F929" s="49">
        <v>75.586799999999997</v>
      </c>
      <c r="G929" s="51"/>
    </row>
    <row r="930" spans="1:7" s="1" customFormat="1" ht="31.5">
      <c r="A930" s="114" t="s">
        <v>507</v>
      </c>
      <c r="B930" s="114" t="s">
        <v>507</v>
      </c>
      <c r="C930" s="51" t="s">
        <v>153</v>
      </c>
      <c r="D930" s="49">
        <v>54.076799999999999</v>
      </c>
      <c r="E930" s="49">
        <v>54.076799999999999</v>
      </c>
      <c r="F930" s="49">
        <v>54.076799999999999</v>
      </c>
      <c r="G930" s="51" t="s">
        <v>506</v>
      </c>
    </row>
    <row r="931" spans="1:7" s="1" customFormat="1" ht="31.5">
      <c r="A931" s="114" t="s">
        <v>505</v>
      </c>
      <c r="B931" s="114" t="s">
        <v>505</v>
      </c>
      <c r="C931" s="51" t="s">
        <v>504</v>
      </c>
      <c r="D931" s="49">
        <v>10.8</v>
      </c>
      <c r="E931" s="49">
        <v>10.8</v>
      </c>
      <c r="F931" s="49">
        <v>10.8</v>
      </c>
      <c r="G931" s="51" t="s">
        <v>368</v>
      </c>
    </row>
    <row r="932" spans="1:7" s="1" customFormat="1" ht="31.5">
      <c r="A932" s="114" t="s">
        <v>503</v>
      </c>
      <c r="B932" s="114" t="s">
        <v>503</v>
      </c>
      <c r="C932" s="51"/>
      <c r="D932" s="49">
        <v>1.35</v>
      </c>
      <c r="E932" s="49">
        <v>0</v>
      </c>
      <c r="F932" s="116">
        <v>0</v>
      </c>
      <c r="G932" s="115" t="s">
        <v>368</v>
      </c>
    </row>
    <row r="933" spans="1:7" s="1" customFormat="1" ht="31.5">
      <c r="A933" s="114" t="s">
        <v>502</v>
      </c>
      <c r="B933" s="114" t="s">
        <v>502</v>
      </c>
      <c r="C933" s="51"/>
      <c r="D933" s="49">
        <v>1.35</v>
      </c>
      <c r="E933" s="49">
        <v>0</v>
      </c>
      <c r="F933" s="116">
        <v>0</v>
      </c>
      <c r="G933" s="115" t="s">
        <v>368</v>
      </c>
    </row>
    <row r="934" spans="1:7" s="1" customFormat="1">
      <c r="A934" s="114" t="s">
        <v>501</v>
      </c>
      <c r="B934" s="114" t="s">
        <v>501</v>
      </c>
      <c r="C934" s="61" t="s">
        <v>240</v>
      </c>
      <c r="D934" s="49">
        <v>1460.5044600000001</v>
      </c>
      <c r="E934" s="49">
        <v>10.71</v>
      </c>
      <c r="F934" s="49">
        <v>10.71</v>
      </c>
      <c r="G934" s="51" t="s">
        <v>368</v>
      </c>
    </row>
    <row r="935" spans="1:7" s="1" customFormat="1" ht="47.25">
      <c r="A935" s="128" t="s">
        <v>500</v>
      </c>
      <c r="B935" s="128" t="s">
        <v>500</v>
      </c>
      <c r="C935" s="61" t="s">
        <v>240</v>
      </c>
      <c r="D935" s="56">
        <v>1064.6219799999999</v>
      </c>
      <c r="E935" s="56">
        <v>582.57097999999996</v>
      </c>
      <c r="F935" s="110">
        <v>8.1</v>
      </c>
      <c r="G935" s="61" t="s">
        <v>488</v>
      </c>
    </row>
    <row r="936" spans="1:7" s="1" customFormat="1">
      <c r="A936" s="127"/>
      <c r="B936" s="127"/>
      <c r="C936" s="51" t="s">
        <v>158</v>
      </c>
      <c r="D936" s="50"/>
      <c r="E936" s="50"/>
      <c r="F936" s="49">
        <v>574.47098000000005</v>
      </c>
      <c r="G936" s="51" t="s">
        <v>499</v>
      </c>
    </row>
    <row r="937" spans="1:7" s="1" customFormat="1" ht="63">
      <c r="A937" s="61" t="s">
        <v>498</v>
      </c>
      <c r="B937" s="61" t="s">
        <v>498</v>
      </c>
      <c r="C937" s="51" t="s">
        <v>158</v>
      </c>
      <c r="D937" s="49">
        <v>1476.58673</v>
      </c>
      <c r="E937" s="49">
        <v>636.80990999999995</v>
      </c>
      <c r="F937" s="49">
        <v>636.80990999999995</v>
      </c>
      <c r="G937" s="51" t="s">
        <v>496</v>
      </c>
    </row>
    <row r="938" spans="1:7" s="1" customFormat="1" ht="63">
      <c r="A938" s="61" t="s">
        <v>497</v>
      </c>
      <c r="B938" s="61" t="s">
        <v>497</v>
      </c>
      <c r="C938" s="51" t="s">
        <v>158</v>
      </c>
      <c r="D938" s="49">
        <v>1479.3634200000001</v>
      </c>
      <c r="E938" s="49">
        <v>638.49915999999996</v>
      </c>
      <c r="F938" s="49">
        <v>638.49915999999996</v>
      </c>
      <c r="G938" s="51" t="s">
        <v>496</v>
      </c>
    </row>
    <row r="939" spans="1:7" s="1" customFormat="1" ht="63">
      <c r="A939" s="61" t="s">
        <v>495</v>
      </c>
      <c r="B939" s="61" t="s">
        <v>495</v>
      </c>
      <c r="C939" s="51" t="s">
        <v>158</v>
      </c>
      <c r="D939" s="49">
        <v>1092.86673</v>
      </c>
      <c r="E939" s="49">
        <v>1092.86673</v>
      </c>
      <c r="F939" s="49">
        <v>593.73920999999996</v>
      </c>
      <c r="G939" s="51" t="s">
        <v>494</v>
      </c>
    </row>
    <row r="940" spans="1:7" s="1" customFormat="1" ht="47.25">
      <c r="A940" s="61" t="s">
        <v>493</v>
      </c>
      <c r="B940" s="61" t="s">
        <v>493</v>
      </c>
      <c r="C940" s="51" t="s">
        <v>158</v>
      </c>
      <c r="D940" s="49">
        <v>321.76056</v>
      </c>
      <c r="E940" s="49">
        <v>0</v>
      </c>
      <c r="F940" s="116">
        <v>0</v>
      </c>
      <c r="G940" s="115" t="s">
        <v>492</v>
      </c>
    </row>
    <row r="941" spans="1:7" s="1" customFormat="1" ht="47.25">
      <c r="A941" s="13" t="s">
        <v>491</v>
      </c>
      <c r="B941" s="13" t="s">
        <v>491</v>
      </c>
      <c r="C941" s="51" t="s">
        <v>158</v>
      </c>
      <c r="D941" s="49">
        <v>913.74554999999998</v>
      </c>
      <c r="E941" s="49">
        <v>913.74554999999998</v>
      </c>
      <c r="F941" s="49">
        <v>913.74554999999998</v>
      </c>
      <c r="G941" s="51" t="s">
        <v>490</v>
      </c>
    </row>
    <row r="942" spans="1:7" s="1" customFormat="1" ht="63">
      <c r="A942" s="128" t="s">
        <v>489</v>
      </c>
      <c r="B942" s="128" t="s">
        <v>489</v>
      </c>
      <c r="C942" s="51" t="s">
        <v>240</v>
      </c>
      <c r="D942" s="98">
        <v>340.50558999999993</v>
      </c>
      <c r="E942" s="98">
        <v>80.795400000000015</v>
      </c>
      <c r="F942" s="49">
        <v>2.0249999999999999</v>
      </c>
      <c r="G942" s="74" t="s">
        <v>488</v>
      </c>
    </row>
    <row r="943" spans="1:7" s="1" customFormat="1">
      <c r="A943" s="127"/>
      <c r="B943" s="127"/>
      <c r="C943" s="88" t="s">
        <v>158</v>
      </c>
      <c r="D943" s="126"/>
      <c r="E943" s="126"/>
      <c r="F943" s="49">
        <v>78.770399999999995</v>
      </c>
      <c r="G943" s="51" t="s">
        <v>487</v>
      </c>
    </row>
    <row r="944" spans="1:7" s="1" customFormat="1" ht="63">
      <c r="A944" s="61" t="s">
        <v>486</v>
      </c>
      <c r="B944" s="61" t="s">
        <v>486</v>
      </c>
      <c r="C944" s="88" t="s">
        <v>158</v>
      </c>
      <c r="D944" s="49">
        <v>83.515500000000003</v>
      </c>
      <c r="E944" s="49">
        <v>81.975499999999997</v>
      </c>
      <c r="F944" s="49">
        <v>81.975499999999997</v>
      </c>
      <c r="G944" s="51" t="s">
        <v>328</v>
      </c>
    </row>
    <row r="945" spans="1:7" s="1" customFormat="1" ht="63">
      <c r="A945" s="125" t="s">
        <v>485</v>
      </c>
      <c r="B945" s="125" t="s">
        <v>485</v>
      </c>
      <c r="C945" s="88" t="s">
        <v>158</v>
      </c>
      <c r="D945" s="98">
        <v>270.56914</v>
      </c>
      <c r="E945" s="98">
        <v>0</v>
      </c>
      <c r="F945" s="116">
        <v>0</v>
      </c>
      <c r="G945" s="115" t="s">
        <v>480</v>
      </c>
    </row>
    <row r="946" spans="1:7" s="1" customFormat="1">
      <c r="A946" s="124"/>
      <c r="B946" s="124"/>
      <c r="C946" s="51"/>
      <c r="D946" s="126"/>
      <c r="E946" s="126"/>
      <c r="F946" s="116">
        <v>0</v>
      </c>
      <c r="G946" s="115" t="s">
        <v>334</v>
      </c>
    </row>
    <row r="947" spans="1:7" s="1" customFormat="1" ht="63">
      <c r="A947" s="61" t="s">
        <v>484</v>
      </c>
      <c r="B947" s="61" t="s">
        <v>484</v>
      </c>
      <c r="C947" s="51" t="s">
        <v>158</v>
      </c>
      <c r="D947" s="49">
        <v>574.66491000000008</v>
      </c>
      <c r="E947" s="49">
        <v>574.66491000000008</v>
      </c>
      <c r="F947" s="49">
        <v>432.18263000000002</v>
      </c>
      <c r="G947" s="51" t="s">
        <v>328</v>
      </c>
    </row>
    <row r="948" spans="1:7" s="1" customFormat="1" ht="47.25">
      <c r="A948" s="61" t="s">
        <v>483</v>
      </c>
      <c r="B948" s="61" t="s">
        <v>483</v>
      </c>
      <c r="C948" s="51" t="s">
        <v>158</v>
      </c>
      <c r="D948" s="49">
        <v>50</v>
      </c>
      <c r="E948" s="49">
        <v>50</v>
      </c>
      <c r="F948" s="49">
        <v>48.949379999999998</v>
      </c>
      <c r="G948" s="51" t="s">
        <v>345</v>
      </c>
    </row>
    <row r="949" spans="1:7" s="1" customFormat="1" ht="47.25">
      <c r="A949" s="61" t="s">
        <v>482</v>
      </c>
      <c r="B949" s="61" t="s">
        <v>482</v>
      </c>
      <c r="C949" s="51" t="s">
        <v>158</v>
      </c>
      <c r="D949" s="49">
        <v>43.501869999999997</v>
      </c>
      <c r="E949" s="49">
        <v>43.501869999999997</v>
      </c>
      <c r="F949" s="49">
        <v>43.501869999999997</v>
      </c>
      <c r="G949" s="51" t="s">
        <v>345</v>
      </c>
    </row>
    <row r="950" spans="1:7" s="1" customFormat="1" ht="47.25">
      <c r="A950" s="125" t="s">
        <v>481</v>
      </c>
      <c r="B950" s="125" t="s">
        <v>481</v>
      </c>
      <c r="C950" s="51" t="s">
        <v>158</v>
      </c>
      <c r="D950" s="56">
        <v>120</v>
      </c>
      <c r="E950" s="56">
        <v>0</v>
      </c>
      <c r="F950" s="116">
        <v>0</v>
      </c>
      <c r="G950" s="115" t="s">
        <v>480</v>
      </c>
    </row>
    <row r="951" spans="1:7" s="1" customFormat="1">
      <c r="A951" s="124"/>
      <c r="B951" s="124"/>
      <c r="C951" s="51"/>
      <c r="D951" s="50"/>
      <c r="E951" s="50"/>
      <c r="F951" s="116">
        <v>0</v>
      </c>
      <c r="G951" s="115" t="s">
        <v>328</v>
      </c>
    </row>
    <row r="952" spans="1:7" s="1" customFormat="1" ht="63">
      <c r="A952" s="61" t="s">
        <v>479</v>
      </c>
      <c r="B952" s="61" t="s">
        <v>479</v>
      </c>
      <c r="C952" s="51"/>
      <c r="D952" s="49">
        <v>65.882469999999998</v>
      </c>
      <c r="E952" s="49">
        <v>0</v>
      </c>
      <c r="F952" s="49">
        <v>0</v>
      </c>
      <c r="G952" s="51"/>
    </row>
    <row r="953" spans="1:7" s="1" customFormat="1" ht="47.25">
      <c r="A953" s="61" t="s">
        <v>478</v>
      </c>
      <c r="B953" s="61" t="s">
        <v>478</v>
      </c>
      <c r="C953" s="51"/>
      <c r="D953" s="49">
        <v>350</v>
      </c>
      <c r="E953" s="49">
        <v>0</v>
      </c>
      <c r="F953" s="49">
        <v>0</v>
      </c>
      <c r="G953" s="51"/>
    </row>
    <row r="954" spans="1:7" s="1" customFormat="1" ht="63">
      <c r="A954" s="61" t="s">
        <v>477</v>
      </c>
      <c r="B954" s="61" t="s">
        <v>477</v>
      </c>
      <c r="C954" s="51"/>
      <c r="D954" s="49">
        <v>300</v>
      </c>
      <c r="E954" s="49">
        <v>0</v>
      </c>
      <c r="F954" s="49">
        <v>0</v>
      </c>
      <c r="G954" s="51"/>
    </row>
    <row r="955" spans="1:7" s="1" customFormat="1" ht="63">
      <c r="A955" s="61" t="s">
        <v>476</v>
      </c>
      <c r="B955" s="61" t="s">
        <v>476</v>
      </c>
      <c r="C955" s="51"/>
      <c r="D955" s="49">
        <v>250</v>
      </c>
      <c r="E955" s="49">
        <v>0</v>
      </c>
      <c r="F955" s="49">
        <v>0</v>
      </c>
      <c r="G955" s="51"/>
    </row>
    <row r="956" spans="1:7" s="1" customFormat="1" ht="63">
      <c r="A956" s="61" t="s">
        <v>475</v>
      </c>
      <c r="B956" s="61" t="s">
        <v>475</v>
      </c>
      <c r="C956" s="51"/>
      <c r="D956" s="49">
        <v>250</v>
      </c>
      <c r="E956" s="49">
        <v>0</v>
      </c>
      <c r="F956" s="49">
        <v>0</v>
      </c>
      <c r="G956" s="51"/>
    </row>
    <row r="957" spans="1:7" s="1" customFormat="1" ht="47.25">
      <c r="A957" s="114" t="s">
        <v>474</v>
      </c>
      <c r="B957" s="114" t="s">
        <v>474</v>
      </c>
      <c r="C957" s="51"/>
      <c r="D957" s="49">
        <v>172.35955000000001</v>
      </c>
      <c r="E957" s="49">
        <v>0</v>
      </c>
      <c r="F957" s="49">
        <v>0</v>
      </c>
      <c r="G957" s="51"/>
    </row>
    <row r="958" spans="1:7" s="1" customFormat="1" ht="63">
      <c r="A958" s="114" t="s">
        <v>473</v>
      </c>
      <c r="B958" s="114" t="s">
        <v>473</v>
      </c>
      <c r="C958" s="51"/>
      <c r="D958" s="49">
        <v>0.61560000000000004</v>
      </c>
      <c r="E958" s="49">
        <v>0</v>
      </c>
      <c r="F958" s="49">
        <v>0</v>
      </c>
      <c r="G958" s="51"/>
    </row>
    <row r="959" spans="1:7" s="1" customFormat="1" ht="63">
      <c r="A959" s="114" t="s">
        <v>472</v>
      </c>
      <c r="B959" s="114" t="s">
        <v>472</v>
      </c>
      <c r="C959" s="51"/>
      <c r="D959" s="49">
        <v>2.7</v>
      </c>
      <c r="E959" s="49">
        <v>0</v>
      </c>
      <c r="F959" s="49">
        <v>0</v>
      </c>
      <c r="G959" s="51"/>
    </row>
    <row r="960" spans="1:7" s="1" customFormat="1" ht="63">
      <c r="A960" s="114" t="s">
        <v>471</v>
      </c>
      <c r="B960" s="114" t="s">
        <v>471</v>
      </c>
      <c r="C960" s="51"/>
      <c r="D960" s="49">
        <v>2.7</v>
      </c>
      <c r="E960" s="49">
        <v>0</v>
      </c>
      <c r="F960" s="49">
        <v>0</v>
      </c>
      <c r="G960" s="51"/>
    </row>
    <row r="961" spans="1:7" s="1" customFormat="1">
      <c r="A961" s="114" t="s">
        <v>358</v>
      </c>
      <c r="B961" s="114" t="s">
        <v>358</v>
      </c>
      <c r="C961" s="51"/>
      <c r="D961" s="49">
        <v>166.34395000000001</v>
      </c>
      <c r="E961" s="49">
        <v>0</v>
      </c>
      <c r="F961" s="49">
        <v>0</v>
      </c>
      <c r="G961" s="51"/>
    </row>
    <row r="962" spans="1:7" s="1" customFormat="1" ht="47.25">
      <c r="A962" s="90" t="s">
        <v>470</v>
      </c>
      <c r="B962" s="90" t="s">
        <v>469</v>
      </c>
      <c r="C962" s="61" t="s">
        <v>158</v>
      </c>
      <c r="D962" s="110">
        <v>321.62860000000001</v>
      </c>
      <c r="E962" s="110">
        <v>321.62959999999998</v>
      </c>
      <c r="F962" s="110">
        <v>321.62959999999998</v>
      </c>
      <c r="G962" s="61" t="s">
        <v>456</v>
      </c>
    </row>
    <row r="963" spans="1:7" s="1" customFormat="1" ht="47.25">
      <c r="A963" s="111" t="s">
        <v>468</v>
      </c>
      <c r="B963" s="111" t="s">
        <v>467</v>
      </c>
      <c r="C963" s="51" t="s">
        <v>158</v>
      </c>
      <c r="D963" s="49">
        <v>366.077</v>
      </c>
      <c r="E963" s="49">
        <v>366.077</v>
      </c>
      <c r="F963" s="49">
        <v>366.077</v>
      </c>
      <c r="G963" s="51" t="s">
        <v>300</v>
      </c>
    </row>
    <row r="964" spans="1:7" s="1" customFormat="1" ht="47.25">
      <c r="A964" s="90" t="s">
        <v>466</v>
      </c>
      <c r="B964" s="90" t="s">
        <v>465</v>
      </c>
      <c r="C964" s="51" t="s">
        <v>158</v>
      </c>
      <c r="D964" s="49">
        <v>295.46839999999997</v>
      </c>
      <c r="E964" s="49">
        <v>295.46839999999997</v>
      </c>
      <c r="F964" s="49">
        <v>295.46839999999997</v>
      </c>
      <c r="G964" s="51" t="s">
        <v>456</v>
      </c>
    </row>
    <row r="965" spans="1:7" s="1" customFormat="1" ht="47.25">
      <c r="A965" s="111" t="s">
        <v>464</v>
      </c>
      <c r="B965" s="111" t="s">
        <v>463</v>
      </c>
      <c r="C965" s="51" t="s">
        <v>158</v>
      </c>
      <c r="D965" s="49">
        <v>342.16388000000001</v>
      </c>
      <c r="E965" s="49">
        <v>342.16388000000001</v>
      </c>
      <c r="F965" s="49">
        <v>342.16388000000001</v>
      </c>
      <c r="G965" s="51" t="s">
        <v>300</v>
      </c>
    </row>
    <row r="966" spans="1:7" s="1" customFormat="1" ht="47.25">
      <c r="A966" s="111" t="s">
        <v>462</v>
      </c>
      <c r="B966" s="111" t="s">
        <v>461</v>
      </c>
      <c r="C966" s="51" t="s">
        <v>158</v>
      </c>
      <c r="D966" s="49">
        <v>262.26479999999998</v>
      </c>
      <c r="E966" s="49">
        <v>262.26479999999998</v>
      </c>
      <c r="F966" s="49">
        <v>262.26479999999998</v>
      </c>
      <c r="G966" s="51" t="s">
        <v>300</v>
      </c>
    </row>
    <row r="967" spans="1:7" s="1" customFormat="1" ht="47.25">
      <c r="A967" s="111" t="s">
        <v>460</v>
      </c>
      <c r="B967" s="111" t="s">
        <v>459</v>
      </c>
      <c r="C967" s="51" t="s">
        <v>158</v>
      </c>
      <c r="D967" s="49">
        <v>23.1496</v>
      </c>
      <c r="E967" s="49">
        <v>23.0608</v>
      </c>
      <c r="F967" s="49">
        <v>23.0608</v>
      </c>
      <c r="G967" s="51" t="s">
        <v>456</v>
      </c>
    </row>
    <row r="968" spans="1:7" s="1" customFormat="1" ht="47.25">
      <c r="A968" s="111" t="s">
        <v>458</v>
      </c>
      <c r="B968" s="111" t="s">
        <v>457</v>
      </c>
      <c r="C968" s="51" t="s">
        <v>158</v>
      </c>
      <c r="D968" s="49">
        <v>154.4682</v>
      </c>
      <c r="E968" s="49">
        <v>154.4682</v>
      </c>
      <c r="F968" s="49">
        <v>154.4682</v>
      </c>
      <c r="G968" s="51" t="s">
        <v>456</v>
      </c>
    </row>
    <row r="969" spans="1:7" s="1" customFormat="1" ht="47.25">
      <c r="A969" s="111" t="s">
        <v>455</v>
      </c>
      <c r="B969" s="111" t="s">
        <v>454</v>
      </c>
      <c r="C969" s="51" t="s">
        <v>158</v>
      </c>
      <c r="D969" s="49">
        <v>208.79259999999999</v>
      </c>
      <c r="E969" s="49">
        <v>208.79259999999999</v>
      </c>
      <c r="F969" s="49">
        <v>208.79259999999999</v>
      </c>
      <c r="G969" s="51" t="s">
        <v>300</v>
      </c>
    </row>
    <row r="970" spans="1:7" s="1" customFormat="1" ht="47.25">
      <c r="A970" s="111" t="s">
        <v>453</v>
      </c>
      <c r="B970" s="111" t="s">
        <v>452</v>
      </c>
      <c r="C970" s="51" t="s">
        <v>158</v>
      </c>
      <c r="D970" s="49">
        <v>86.269600000000011</v>
      </c>
      <c r="E970" s="49">
        <v>80.161000000000001</v>
      </c>
      <c r="F970" s="49">
        <v>80.161000000000001</v>
      </c>
      <c r="G970" s="51" t="s">
        <v>300</v>
      </c>
    </row>
    <row r="971" spans="1:7" s="1" customFormat="1" ht="47.25">
      <c r="A971" s="111" t="s">
        <v>451</v>
      </c>
      <c r="B971" s="111" t="s">
        <v>450</v>
      </c>
      <c r="C971" s="51" t="s">
        <v>158</v>
      </c>
      <c r="D971" s="49">
        <v>139.00739999999999</v>
      </c>
      <c r="E971" s="49">
        <v>126.7912</v>
      </c>
      <c r="F971" s="49">
        <v>126.7912</v>
      </c>
      <c r="G971" s="51" t="s">
        <v>300</v>
      </c>
    </row>
    <row r="972" spans="1:7" s="1" customFormat="1" ht="15.6" customHeight="1">
      <c r="A972" s="101" t="s">
        <v>449</v>
      </c>
      <c r="B972" s="101" t="s">
        <v>448</v>
      </c>
      <c r="C972" s="51" t="s">
        <v>153</v>
      </c>
      <c r="D972" s="56">
        <v>1085.1945000000001</v>
      </c>
      <c r="E972" s="56">
        <v>275.07736</v>
      </c>
      <c r="F972" s="49">
        <v>9.0500000000000007</v>
      </c>
      <c r="G972" s="51" t="s">
        <v>447</v>
      </c>
    </row>
    <row r="973" spans="1:7" s="1" customFormat="1" ht="31.5">
      <c r="A973" s="100"/>
      <c r="B973" s="100"/>
      <c r="C973" s="51" t="s">
        <v>301</v>
      </c>
      <c r="D973" s="50"/>
      <c r="E973" s="50"/>
      <c r="F973" s="49">
        <v>266.02735999999999</v>
      </c>
      <c r="G973" s="51" t="s">
        <v>446</v>
      </c>
    </row>
    <row r="974" spans="1:7" s="1" customFormat="1" ht="47.25">
      <c r="A974" s="61" t="s">
        <v>445</v>
      </c>
      <c r="B974" s="61" t="s">
        <v>444</v>
      </c>
      <c r="C974" s="51" t="s">
        <v>443</v>
      </c>
      <c r="D974" s="49">
        <v>479.75646999999998</v>
      </c>
      <c r="E974" s="49">
        <v>3.24</v>
      </c>
      <c r="F974" s="49">
        <v>3.24</v>
      </c>
      <c r="G974" s="51" t="s">
        <v>442</v>
      </c>
    </row>
    <row r="975" spans="1:7" s="1" customFormat="1" ht="47.25">
      <c r="A975" s="111" t="s">
        <v>441</v>
      </c>
      <c r="B975" s="111" t="s">
        <v>440</v>
      </c>
      <c r="C975" s="51" t="s">
        <v>158</v>
      </c>
      <c r="D975" s="49">
        <v>123.51568</v>
      </c>
      <c r="E975" s="49">
        <v>123.51568</v>
      </c>
      <c r="F975" s="49">
        <v>123.51568</v>
      </c>
      <c r="G975" s="51" t="s">
        <v>300</v>
      </c>
    </row>
    <row r="976" spans="1:7" s="1" customFormat="1" ht="47.25">
      <c r="A976" s="61" t="s">
        <v>439</v>
      </c>
      <c r="B976" s="61" t="s">
        <v>438</v>
      </c>
      <c r="C976" s="51"/>
      <c r="D976" s="49">
        <v>160.80403000000001</v>
      </c>
      <c r="E976" s="49">
        <v>0</v>
      </c>
      <c r="F976" s="49">
        <v>0</v>
      </c>
      <c r="G976" s="51"/>
    </row>
    <row r="977" spans="1:7" s="1" customFormat="1" ht="47.25">
      <c r="A977" s="61" t="s">
        <v>437</v>
      </c>
      <c r="B977" s="61" t="s">
        <v>436</v>
      </c>
      <c r="C977" s="51"/>
      <c r="D977" s="49">
        <v>157</v>
      </c>
      <c r="E977" s="49">
        <v>0</v>
      </c>
      <c r="F977" s="49">
        <v>0</v>
      </c>
      <c r="G977" s="51"/>
    </row>
    <row r="978" spans="1:7" s="1" customFormat="1" ht="47.25">
      <c r="A978" s="61" t="s">
        <v>435</v>
      </c>
      <c r="B978" s="61" t="s">
        <v>434</v>
      </c>
      <c r="C978" s="51"/>
      <c r="D978" s="49">
        <v>148</v>
      </c>
      <c r="E978" s="49">
        <v>0</v>
      </c>
      <c r="F978" s="49">
        <v>0</v>
      </c>
      <c r="G978" s="51"/>
    </row>
    <row r="979" spans="1:7" s="1" customFormat="1" ht="63">
      <c r="A979" s="61" t="s">
        <v>433</v>
      </c>
      <c r="B979" s="61" t="s">
        <v>432</v>
      </c>
      <c r="C979" s="51"/>
      <c r="D979" s="49">
        <v>570</v>
      </c>
      <c r="E979" s="49">
        <v>0</v>
      </c>
      <c r="F979" s="49">
        <v>0</v>
      </c>
      <c r="G979" s="51"/>
    </row>
    <row r="980" spans="1:7" s="1" customFormat="1" ht="47.25">
      <c r="A980" s="61" t="s">
        <v>431</v>
      </c>
      <c r="B980" s="61" t="s">
        <v>430</v>
      </c>
      <c r="C980" s="51"/>
      <c r="D980" s="49">
        <v>335</v>
      </c>
      <c r="E980" s="49">
        <v>0</v>
      </c>
      <c r="F980" s="49">
        <v>0</v>
      </c>
      <c r="G980" s="51"/>
    </row>
    <row r="981" spans="1:7" s="1" customFormat="1" ht="47.25">
      <c r="A981" s="61" t="s">
        <v>429</v>
      </c>
      <c r="B981" s="61" t="s">
        <v>428</v>
      </c>
      <c r="C981" s="51"/>
      <c r="D981" s="49">
        <v>207.25097</v>
      </c>
      <c r="E981" s="49">
        <v>0</v>
      </c>
      <c r="F981" s="49">
        <v>0</v>
      </c>
      <c r="G981" s="51"/>
    </row>
    <row r="982" spans="1:7" s="1" customFormat="1" ht="15.6" customHeight="1">
      <c r="A982" s="101" t="s">
        <v>427</v>
      </c>
      <c r="B982" s="101" t="s">
        <v>426</v>
      </c>
      <c r="C982" s="51" t="s">
        <v>153</v>
      </c>
      <c r="D982" s="56">
        <v>504.65447999999998</v>
      </c>
      <c r="E982" s="56">
        <v>504.65447999999998</v>
      </c>
      <c r="F982" s="49">
        <v>8.09999</v>
      </c>
      <c r="G982" s="51" t="s">
        <v>293</v>
      </c>
    </row>
    <row r="983" spans="1:7" s="1" customFormat="1">
      <c r="A983" s="100"/>
      <c r="B983" s="100"/>
      <c r="C983" s="51" t="s">
        <v>158</v>
      </c>
      <c r="D983" s="50"/>
      <c r="E983" s="50"/>
      <c r="F983" s="49">
        <v>496.55448000000001</v>
      </c>
      <c r="G983" s="51" t="s">
        <v>421</v>
      </c>
    </row>
    <row r="984" spans="1:7" s="1" customFormat="1" ht="47.25">
      <c r="A984" s="61" t="s">
        <v>425</v>
      </c>
      <c r="B984" s="61" t="s">
        <v>424</v>
      </c>
      <c r="C984" s="51" t="s">
        <v>153</v>
      </c>
      <c r="D984" s="49">
        <v>277.31274999999999</v>
      </c>
      <c r="E984" s="49">
        <v>6.6789399999999999</v>
      </c>
      <c r="F984" s="49">
        <v>6.6789399999999999</v>
      </c>
      <c r="G984" s="51" t="s">
        <v>293</v>
      </c>
    </row>
    <row r="985" spans="1:7" s="1" customFormat="1" ht="15.6" customHeight="1">
      <c r="A985" s="101" t="s">
        <v>423</v>
      </c>
      <c r="B985" s="101" t="s">
        <v>422</v>
      </c>
      <c r="C985" s="51" t="s">
        <v>153</v>
      </c>
      <c r="D985" s="56">
        <v>250.28804</v>
      </c>
      <c r="E985" s="56">
        <v>250.28804</v>
      </c>
      <c r="F985" s="49">
        <v>3.2684199999999999</v>
      </c>
      <c r="G985" s="51" t="s">
        <v>293</v>
      </c>
    </row>
    <row r="986" spans="1:7" s="1" customFormat="1">
      <c r="A986" s="100"/>
      <c r="B986" s="100"/>
      <c r="C986" s="51" t="s">
        <v>158</v>
      </c>
      <c r="D986" s="50"/>
      <c r="E986" s="50"/>
      <c r="F986" s="49">
        <v>247.01962</v>
      </c>
      <c r="G986" s="51" t="s">
        <v>421</v>
      </c>
    </row>
    <row r="987" spans="1:7" s="1" customFormat="1" ht="47.25">
      <c r="A987" s="114" t="s">
        <v>354</v>
      </c>
      <c r="B987" s="114" t="s">
        <v>354</v>
      </c>
      <c r="C987" s="51"/>
      <c r="D987" s="49">
        <v>150</v>
      </c>
      <c r="E987" s="49">
        <v>0</v>
      </c>
      <c r="F987" s="49">
        <v>0</v>
      </c>
      <c r="G987" s="51"/>
    </row>
    <row r="988" spans="1:7" s="1" customFormat="1">
      <c r="A988" s="114" t="s">
        <v>420</v>
      </c>
      <c r="B988" s="114" t="s">
        <v>420</v>
      </c>
      <c r="C988" s="51"/>
      <c r="D988" s="49">
        <v>20</v>
      </c>
      <c r="E988" s="49">
        <v>0</v>
      </c>
      <c r="F988" s="49">
        <v>0</v>
      </c>
      <c r="G988" s="51"/>
    </row>
    <row r="989" spans="1:7" s="1" customFormat="1">
      <c r="A989" s="114" t="s">
        <v>419</v>
      </c>
      <c r="B989" s="114" t="s">
        <v>419</v>
      </c>
      <c r="C989" s="51"/>
      <c r="D989" s="49">
        <v>30</v>
      </c>
      <c r="E989" s="49">
        <v>0</v>
      </c>
      <c r="F989" s="49">
        <v>0</v>
      </c>
      <c r="G989" s="51"/>
    </row>
    <row r="990" spans="1:7" s="1" customFormat="1">
      <c r="A990" s="114" t="s">
        <v>418</v>
      </c>
      <c r="B990" s="114" t="s">
        <v>418</v>
      </c>
      <c r="C990" s="51"/>
      <c r="D990" s="49">
        <v>30</v>
      </c>
      <c r="E990" s="49">
        <v>0</v>
      </c>
      <c r="F990" s="49">
        <v>0</v>
      </c>
      <c r="G990" s="51"/>
    </row>
    <row r="991" spans="1:7" s="1" customFormat="1">
      <c r="A991" s="114" t="s">
        <v>417</v>
      </c>
      <c r="B991" s="114" t="s">
        <v>417</v>
      </c>
      <c r="C991" s="51"/>
      <c r="D991" s="49">
        <v>30</v>
      </c>
      <c r="E991" s="49">
        <v>0</v>
      </c>
      <c r="F991" s="49">
        <v>0</v>
      </c>
      <c r="G991" s="51"/>
    </row>
    <row r="992" spans="1:7" s="1" customFormat="1">
      <c r="A992" s="114" t="s">
        <v>358</v>
      </c>
      <c r="B992" s="114" t="s">
        <v>358</v>
      </c>
      <c r="C992" s="51"/>
      <c r="D992" s="49">
        <v>40</v>
      </c>
      <c r="E992" s="49">
        <v>0</v>
      </c>
      <c r="F992" s="49">
        <v>0</v>
      </c>
      <c r="G992" s="51"/>
    </row>
    <row r="993" spans="1:7" s="1" customFormat="1" ht="16.149999999999999" customHeight="1">
      <c r="A993" s="123" t="s">
        <v>416</v>
      </c>
      <c r="B993" s="122"/>
      <c r="C993" s="121"/>
      <c r="D993" s="68">
        <f>SUM(D994:D1023,D1026:D1042,D1049:D1069)</f>
        <v>24266.099500000008</v>
      </c>
      <c r="E993" s="68">
        <f>SUM(E994:E1025,E1026:E1042,E1049:E1069)</f>
        <v>21291.810000000005</v>
      </c>
      <c r="F993" s="68">
        <f>SUM(F994:F1025,F1026:F1042,F1049:F1069)</f>
        <v>13209.256530000004</v>
      </c>
      <c r="G993" s="51"/>
    </row>
    <row r="994" spans="1:7" s="1" customFormat="1" ht="31.5">
      <c r="A994" s="61" t="s">
        <v>415</v>
      </c>
      <c r="B994" s="114" t="s">
        <v>414</v>
      </c>
      <c r="C994" s="51" t="s">
        <v>158</v>
      </c>
      <c r="D994" s="49">
        <v>1113.0679600000001</v>
      </c>
      <c r="E994" s="49">
        <v>1113.0679600000001</v>
      </c>
      <c r="F994" s="49">
        <v>1113.0679600000001</v>
      </c>
      <c r="G994" s="51" t="s">
        <v>413</v>
      </c>
    </row>
    <row r="995" spans="1:7" s="1" customFormat="1" ht="31.5">
      <c r="A995" s="61" t="s">
        <v>412</v>
      </c>
      <c r="B995" s="114" t="s">
        <v>411</v>
      </c>
      <c r="C995" s="51" t="s">
        <v>158</v>
      </c>
      <c r="D995" s="49">
        <v>828.70060000000012</v>
      </c>
      <c r="E995" s="49">
        <v>828.70060000000001</v>
      </c>
      <c r="F995" s="49">
        <v>828.70060000000001</v>
      </c>
      <c r="G995" s="51" t="s">
        <v>408</v>
      </c>
    </row>
    <row r="996" spans="1:7" s="1" customFormat="1" ht="31.5">
      <c r="A996" s="51" t="s">
        <v>410</v>
      </c>
      <c r="B996" s="114" t="s">
        <v>409</v>
      </c>
      <c r="C996" s="51" t="s">
        <v>158</v>
      </c>
      <c r="D996" s="49">
        <v>97.119579999999999</v>
      </c>
      <c r="E996" s="49">
        <v>97.119579999999999</v>
      </c>
      <c r="F996" s="49">
        <v>97.119579999999999</v>
      </c>
      <c r="G996" s="51" t="s">
        <v>408</v>
      </c>
    </row>
    <row r="997" spans="1:7" s="1" customFormat="1" ht="31.5">
      <c r="A997" s="51" t="s">
        <v>407</v>
      </c>
      <c r="B997" s="114" t="s">
        <v>406</v>
      </c>
      <c r="C997" s="51" t="s">
        <v>158</v>
      </c>
      <c r="D997" s="49">
        <v>408.99641000000003</v>
      </c>
      <c r="E997" s="49">
        <v>408.99641000000003</v>
      </c>
      <c r="F997" s="49">
        <v>408.99641000000003</v>
      </c>
      <c r="G997" s="51" t="s">
        <v>405</v>
      </c>
    </row>
    <row r="998" spans="1:7" s="1" customFormat="1" ht="31.5">
      <c r="A998" s="51" t="s">
        <v>404</v>
      </c>
      <c r="B998" s="114" t="s">
        <v>403</v>
      </c>
      <c r="C998" s="51" t="s">
        <v>158</v>
      </c>
      <c r="D998" s="49">
        <v>1001.81956</v>
      </c>
      <c r="E998" s="49">
        <v>1001.81956</v>
      </c>
      <c r="F998" s="49">
        <v>1001.81956</v>
      </c>
      <c r="G998" s="51" t="s">
        <v>402</v>
      </c>
    </row>
    <row r="999" spans="1:7" s="1" customFormat="1" ht="31.5">
      <c r="A999" s="51" t="s">
        <v>401</v>
      </c>
      <c r="B999" s="114" t="s">
        <v>400</v>
      </c>
      <c r="C999" s="51" t="s">
        <v>158</v>
      </c>
      <c r="D999" s="49">
        <v>759.51449000000002</v>
      </c>
      <c r="E999" s="49">
        <v>759.51449000000002</v>
      </c>
      <c r="F999" s="49">
        <f>440.4694+319.04509</f>
        <v>759.51449000000002</v>
      </c>
      <c r="G999" s="51" t="s">
        <v>399</v>
      </c>
    </row>
    <row r="1000" spans="1:7" s="1" customFormat="1" ht="31.5">
      <c r="A1000" s="61" t="s">
        <v>398</v>
      </c>
      <c r="B1000" s="114" t="s">
        <v>397</v>
      </c>
      <c r="C1000" s="51" t="s">
        <v>158</v>
      </c>
      <c r="D1000" s="49">
        <v>78.521090000000001</v>
      </c>
      <c r="E1000" s="49">
        <v>78.521090000000001</v>
      </c>
      <c r="F1000" s="49">
        <v>78.521090000000001</v>
      </c>
      <c r="G1000" s="51" t="s">
        <v>396</v>
      </c>
    </row>
    <row r="1001" spans="1:7" s="1" customFormat="1" ht="31.5">
      <c r="A1001" s="61" t="s">
        <v>395</v>
      </c>
      <c r="B1001" s="114" t="s">
        <v>394</v>
      </c>
      <c r="C1001" s="51" t="s">
        <v>158</v>
      </c>
      <c r="D1001" s="49">
        <v>101.93600000000001</v>
      </c>
      <c r="E1001" s="49">
        <v>101.93600000000001</v>
      </c>
      <c r="F1001" s="116">
        <v>0</v>
      </c>
      <c r="G1001" s="115" t="s">
        <v>393</v>
      </c>
    </row>
    <row r="1002" spans="1:7" s="1" customFormat="1" ht="31.5">
      <c r="A1002" s="61" t="s">
        <v>392</v>
      </c>
      <c r="B1002" s="114" t="s">
        <v>391</v>
      </c>
      <c r="C1002" s="51" t="s">
        <v>158</v>
      </c>
      <c r="D1002" s="49">
        <v>585.00100000000009</v>
      </c>
      <c r="E1002" s="49">
        <v>585.00100000000009</v>
      </c>
      <c r="F1002" s="49">
        <v>585.00100000000009</v>
      </c>
      <c r="G1002" s="51" t="s">
        <v>390</v>
      </c>
    </row>
    <row r="1003" spans="1:7" s="1" customFormat="1" ht="31.5">
      <c r="A1003" s="51" t="s">
        <v>389</v>
      </c>
      <c r="B1003" s="114" t="s">
        <v>388</v>
      </c>
      <c r="C1003" s="51" t="s">
        <v>158</v>
      </c>
      <c r="D1003" s="49">
        <v>266.44403999999997</v>
      </c>
      <c r="E1003" s="49">
        <v>266.44403999999997</v>
      </c>
      <c r="F1003" s="49">
        <v>266.44403999999997</v>
      </c>
      <c r="G1003" s="70" t="s">
        <v>370</v>
      </c>
    </row>
    <row r="1004" spans="1:7" s="1" customFormat="1" ht="15.6" customHeight="1">
      <c r="A1004" s="101" t="s">
        <v>387</v>
      </c>
      <c r="B1004" s="119" t="s">
        <v>386</v>
      </c>
      <c r="C1004" s="51" t="s">
        <v>240</v>
      </c>
      <c r="D1004" s="56">
        <v>1218.6593700000001</v>
      </c>
      <c r="E1004" s="56">
        <v>1218.6593700000001</v>
      </c>
      <c r="F1004" s="49">
        <v>5.4</v>
      </c>
      <c r="G1004" s="51" t="s">
        <v>385</v>
      </c>
    </row>
    <row r="1005" spans="1:7" s="1" customFormat="1">
      <c r="A1005" s="100"/>
      <c r="B1005" s="118"/>
      <c r="C1005" s="51" t="s">
        <v>158</v>
      </c>
      <c r="D1005" s="50"/>
      <c r="E1005" s="50"/>
      <c r="F1005" s="49">
        <v>1213.25937</v>
      </c>
      <c r="G1005" s="51" t="s">
        <v>384</v>
      </c>
    </row>
    <row r="1006" spans="1:7" s="1" customFormat="1" ht="31.5">
      <c r="A1006" s="61" t="s">
        <v>383</v>
      </c>
      <c r="B1006" s="114" t="s">
        <v>382</v>
      </c>
      <c r="C1006" s="51" t="s">
        <v>158</v>
      </c>
      <c r="D1006" s="49">
        <v>260.11380000000003</v>
      </c>
      <c r="E1006" s="49">
        <v>260.11380000000003</v>
      </c>
      <c r="F1006" s="49">
        <f>260.1138</f>
        <v>260.11380000000003</v>
      </c>
      <c r="G1006" s="51" t="s">
        <v>381</v>
      </c>
    </row>
    <row r="1007" spans="1:7" s="1" customFormat="1" ht="31.5">
      <c r="A1007" s="51" t="s">
        <v>380</v>
      </c>
      <c r="B1007" s="114" t="s">
        <v>379</v>
      </c>
      <c r="C1007" s="51" t="s">
        <v>158</v>
      </c>
      <c r="D1007" s="49">
        <v>1036.2267400000001</v>
      </c>
      <c r="E1007" s="49">
        <v>1036.2267400000001</v>
      </c>
      <c r="F1007" s="49">
        <v>0</v>
      </c>
      <c r="G1007" s="51"/>
    </row>
    <row r="1008" spans="1:7" s="1" customFormat="1" ht="31.5">
      <c r="A1008" s="114" t="s">
        <v>378</v>
      </c>
      <c r="B1008" s="114" t="s">
        <v>377</v>
      </c>
      <c r="C1008" s="51" t="s">
        <v>158</v>
      </c>
      <c r="D1008" s="49">
        <v>590.26967000000002</v>
      </c>
      <c r="E1008" s="49">
        <v>590.26967000000002</v>
      </c>
      <c r="F1008" s="49">
        <v>590.26967000000002</v>
      </c>
      <c r="G1008" s="51" t="s">
        <v>374</v>
      </c>
    </row>
    <row r="1009" spans="1:7" s="1" customFormat="1" ht="15.6" customHeight="1">
      <c r="A1009" s="119" t="s">
        <v>376</v>
      </c>
      <c r="B1009" s="119" t="s">
        <v>375</v>
      </c>
      <c r="C1009" s="51" t="s">
        <v>158</v>
      </c>
      <c r="D1009" s="56">
        <v>974.00135</v>
      </c>
      <c r="E1009" s="56">
        <v>974.00135</v>
      </c>
      <c r="F1009" s="116">
        <v>0</v>
      </c>
      <c r="G1009" s="115" t="s">
        <v>374</v>
      </c>
    </row>
    <row r="1010" spans="1:7" s="1" customFormat="1">
      <c r="A1010" s="118"/>
      <c r="B1010" s="118"/>
      <c r="C1010" s="51"/>
      <c r="D1010" s="50"/>
      <c r="E1010" s="50"/>
      <c r="F1010" s="116">
        <v>0</v>
      </c>
      <c r="G1010" s="115" t="s">
        <v>368</v>
      </c>
    </row>
    <row r="1011" spans="1:7" s="1" customFormat="1" ht="31.5">
      <c r="A1011" s="114" t="s">
        <v>373</v>
      </c>
      <c r="B1011" s="114" t="s">
        <v>372</v>
      </c>
      <c r="C1011" s="51" t="s">
        <v>153</v>
      </c>
      <c r="D1011" s="49">
        <v>33.762999999999998</v>
      </c>
      <c r="E1011" s="49">
        <v>33.762999999999998</v>
      </c>
      <c r="F1011" s="49">
        <v>33.762999999999998</v>
      </c>
      <c r="G1011" s="51" t="s">
        <v>152</v>
      </c>
    </row>
    <row r="1012" spans="1:7" s="1" customFormat="1">
      <c r="A1012" s="114" t="s">
        <v>371</v>
      </c>
      <c r="B1012" s="114" t="s">
        <v>371</v>
      </c>
      <c r="C1012" s="51" t="s">
        <v>158</v>
      </c>
      <c r="D1012" s="49">
        <v>467.07182999999998</v>
      </c>
      <c r="E1012" s="49">
        <v>467.07181999999995</v>
      </c>
      <c r="F1012" s="49">
        <v>467.07181999999995</v>
      </c>
      <c r="G1012" s="51" t="s">
        <v>370</v>
      </c>
    </row>
    <row r="1013" spans="1:7" s="1" customFormat="1">
      <c r="A1013" s="114" t="s">
        <v>369</v>
      </c>
      <c r="B1013" s="114" t="s">
        <v>369</v>
      </c>
      <c r="C1013" s="51" t="s">
        <v>158</v>
      </c>
      <c r="D1013" s="49">
        <v>859.60717</v>
      </c>
      <c r="E1013" s="49">
        <v>859.60717</v>
      </c>
      <c r="F1013" s="116">
        <v>0</v>
      </c>
      <c r="G1013" s="115" t="s">
        <v>368</v>
      </c>
    </row>
    <row r="1014" spans="1:7" s="1" customFormat="1">
      <c r="A1014" s="114" t="s">
        <v>367</v>
      </c>
      <c r="B1014" s="114" t="s">
        <v>367</v>
      </c>
      <c r="C1014" s="51" t="s">
        <v>158</v>
      </c>
      <c r="D1014" s="49">
        <v>876.97596999999996</v>
      </c>
      <c r="E1014" s="49">
        <v>0</v>
      </c>
      <c r="F1014" s="49">
        <v>0</v>
      </c>
      <c r="G1014" s="51"/>
    </row>
    <row r="1015" spans="1:7" s="1" customFormat="1">
      <c r="A1015" s="114" t="s">
        <v>222</v>
      </c>
      <c r="B1015" s="114" t="s">
        <v>222</v>
      </c>
      <c r="C1015" s="51" t="s">
        <v>158</v>
      </c>
      <c r="D1015" s="69">
        <v>503.23</v>
      </c>
      <c r="E1015" s="49">
        <v>133.99854999999999</v>
      </c>
      <c r="F1015" s="49">
        <v>0</v>
      </c>
      <c r="G1015" s="51"/>
    </row>
    <row r="1016" spans="1:7" s="1" customFormat="1">
      <c r="A1016" s="114" t="s">
        <v>366</v>
      </c>
      <c r="B1016" s="114" t="s">
        <v>366</v>
      </c>
      <c r="C1016" s="51" t="s">
        <v>158</v>
      </c>
      <c r="D1016" s="69">
        <v>800</v>
      </c>
      <c r="E1016" s="49">
        <v>800</v>
      </c>
      <c r="F1016" s="49">
        <v>0</v>
      </c>
      <c r="G1016" s="51"/>
    </row>
    <row r="1017" spans="1:7" s="1" customFormat="1">
      <c r="A1017" s="114" t="s">
        <v>365</v>
      </c>
      <c r="B1017" s="114" t="s">
        <v>365</v>
      </c>
      <c r="C1017" s="51" t="s">
        <v>158</v>
      </c>
      <c r="D1017" s="69">
        <v>541.52499999999998</v>
      </c>
      <c r="E1017" s="49">
        <v>541.52499999999998</v>
      </c>
      <c r="F1017" s="49">
        <v>0</v>
      </c>
      <c r="G1017" s="51"/>
    </row>
    <row r="1018" spans="1:7" s="1" customFormat="1">
      <c r="A1018" s="120" t="s">
        <v>364</v>
      </c>
      <c r="B1018" s="120" t="s">
        <v>364</v>
      </c>
      <c r="C1018" s="51" t="s">
        <v>158</v>
      </c>
      <c r="D1018" s="69">
        <v>100</v>
      </c>
      <c r="E1018" s="49">
        <v>0</v>
      </c>
      <c r="F1018" s="49">
        <v>0</v>
      </c>
      <c r="G1018" s="51"/>
    </row>
    <row r="1019" spans="1:7" s="1" customFormat="1">
      <c r="A1019" s="120" t="s">
        <v>363</v>
      </c>
      <c r="B1019" s="120" t="s">
        <v>363</v>
      </c>
      <c r="C1019" s="51" t="s">
        <v>158</v>
      </c>
      <c r="D1019" s="69">
        <v>100</v>
      </c>
      <c r="E1019" s="49">
        <v>0</v>
      </c>
      <c r="F1019" s="49">
        <v>0</v>
      </c>
      <c r="G1019" s="51"/>
    </row>
    <row r="1020" spans="1:7" s="1" customFormat="1">
      <c r="A1020" s="120" t="s">
        <v>362</v>
      </c>
      <c r="B1020" s="120" t="s">
        <v>362</v>
      </c>
      <c r="C1020" s="51" t="s">
        <v>158</v>
      </c>
      <c r="D1020" s="69">
        <v>100</v>
      </c>
      <c r="E1020" s="49">
        <v>0</v>
      </c>
      <c r="F1020" s="49">
        <v>0</v>
      </c>
      <c r="G1020" s="51"/>
    </row>
    <row r="1021" spans="1:7" s="1" customFormat="1">
      <c r="A1021" s="120" t="s">
        <v>361</v>
      </c>
      <c r="B1021" s="120" t="s">
        <v>361</v>
      </c>
      <c r="C1021" s="51" t="s">
        <v>158</v>
      </c>
      <c r="D1021" s="69">
        <v>100</v>
      </c>
      <c r="E1021" s="49">
        <v>0</v>
      </c>
      <c r="F1021" s="49">
        <v>0</v>
      </c>
      <c r="G1021" s="51"/>
    </row>
    <row r="1022" spans="1:7" s="1" customFormat="1">
      <c r="A1022" s="120" t="s">
        <v>360</v>
      </c>
      <c r="B1022" s="120" t="s">
        <v>360</v>
      </c>
      <c r="C1022" s="51" t="s">
        <v>158</v>
      </c>
      <c r="D1022" s="69">
        <v>100</v>
      </c>
      <c r="E1022" s="49">
        <v>0</v>
      </c>
      <c r="F1022" s="49">
        <v>0</v>
      </c>
      <c r="G1022" s="51"/>
    </row>
    <row r="1023" spans="1:7" s="1" customFormat="1" ht="47.25">
      <c r="A1023" s="114" t="s">
        <v>354</v>
      </c>
      <c r="B1023" s="114" t="s">
        <v>354</v>
      </c>
      <c r="C1023" s="51"/>
      <c r="D1023" s="49">
        <v>125.64637</v>
      </c>
      <c r="E1023" s="49">
        <v>0</v>
      </c>
      <c r="F1023" s="49">
        <v>0</v>
      </c>
      <c r="G1023" s="51"/>
    </row>
    <row r="1024" spans="1:7" s="1" customFormat="1">
      <c r="A1024" s="114" t="s">
        <v>359</v>
      </c>
      <c r="B1024" s="114" t="s">
        <v>359</v>
      </c>
      <c r="C1024" s="51"/>
      <c r="D1024" s="49">
        <v>2.7</v>
      </c>
      <c r="E1024" s="49">
        <v>0</v>
      </c>
      <c r="F1024" s="49">
        <v>0</v>
      </c>
      <c r="G1024" s="51"/>
    </row>
    <row r="1025" spans="1:7" s="1" customFormat="1">
      <c r="A1025" s="114" t="s">
        <v>358</v>
      </c>
      <c r="B1025" s="114" t="s">
        <v>358</v>
      </c>
      <c r="C1025" s="51"/>
      <c r="D1025" s="49">
        <v>122.94637</v>
      </c>
      <c r="E1025" s="49">
        <v>0</v>
      </c>
      <c r="F1025" s="49">
        <v>0</v>
      </c>
      <c r="G1025" s="51"/>
    </row>
    <row r="1026" spans="1:7" s="1" customFormat="1" ht="31.5">
      <c r="A1026" s="114" t="s">
        <v>357</v>
      </c>
      <c r="B1026" s="51" t="s">
        <v>356</v>
      </c>
      <c r="C1026" s="51" t="s">
        <v>158</v>
      </c>
      <c r="D1026" s="49">
        <v>563.04625999999996</v>
      </c>
      <c r="E1026" s="49">
        <v>563.04625999999996</v>
      </c>
      <c r="F1026" s="49">
        <v>563.04625999999996</v>
      </c>
      <c r="G1026" s="51" t="s">
        <v>355</v>
      </c>
    </row>
    <row r="1027" spans="1:7" s="1" customFormat="1" ht="47.25">
      <c r="A1027" s="114" t="s">
        <v>354</v>
      </c>
      <c r="B1027" s="114" t="s">
        <v>354</v>
      </c>
      <c r="C1027" s="51"/>
      <c r="D1027" s="49">
        <v>37.709040000000002</v>
      </c>
      <c r="E1027" s="49">
        <v>0</v>
      </c>
      <c r="F1027" s="49">
        <v>0</v>
      </c>
      <c r="G1027" s="51"/>
    </row>
    <row r="1028" spans="1:7" s="1" customFormat="1" ht="31.5">
      <c r="A1028" s="114" t="s">
        <v>353</v>
      </c>
      <c r="B1028" s="61" t="s">
        <v>352</v>
      </c>
      <c r="C1028" s="51" t="s">
        <v>158</v>
      </c>
      <c r="D1028" s="49">
        <v>722.86527999999998</v>
      </c>
      <c r="E1028" s="49">
        <v>722.86527999999998</v>
      </c>
      <c r="F1028" s="49">
        <v>306.57304999999997</v>
      </c>
      <c r="G1028" s="51" t="s">
        <v>349</v>
      </c>
    </row>
    <row r="1029" spans="1:7" s="1" customFormat="1" ht="15.6" customHeight="1">
      <c r="A1029" s="119" t="s">
        <v>351</v>
      </c>
      <c r="B1029" s="101" t="s">
        <v>350</v>
      </c>
      <c r="C1029" s="51" t="s">
        <v>158</v>
      </c>
      <c r="D1029" s="56">
        <v>665.43754999999999</v>
      </c>
      <c r="E1029" s="56">
        <v>665.43754999999999</v>
      </c>
      <c r="F1029" s="49">
        <v>203.60429999999999</v>
      </c>
      <c r="G1029" s="51" t="s">
        <v>349</v>
      </c>
    </row>
    <row r="1030" spans="1:7" s="1" customFormat="1" ht="31.5">
      <c r="A1030" s="118"/>
      <c r="B1030" s="100"/>
      <c r="C1030" s="51" t="s">
        <v>240</v>
      </c>
      <c r="D1030" s="50"/>
      <c r="E1030" s="50"/>
      <c r="F1030" s="49">
        <v>3.24</v>
      </c>
      <c r="G1030" s="51" t="s">
        <v>348</v>
      </c>
    </row>
    <row r="1031" spans="1:7" s="1" customFormat="1" ht="31.5">
      <c r="A1031" s="114" t="s">
        <v>347</v>
      </c>
      <c r="B1031" s="90" t="s">
        <v>346</v>
      </c>
      <c r="C1031" s="51" t="s">
        <v>158</v>
      </c>
      <c r="D1031" s="49">
        <v>652.45959000000005</v>
      </c>
      <c r="E1031" s="49">
        <v>652.45959000000005</v>
      </c>
      <c r="F1031" s="49">
        <v>652.45959000000005</v>
      </c>
      <c r="G1031" s="51" t="s">
        <v>345</v>
      </c>
    </row>
    <row r="1032" spans="1:7" s="1" customFormat="1" ht="31.5">
      <c r="A1032" s="114" t="s">
        <v>344</v>
      </c>
      <c r="B1032" s="61" t="s">
        <v>343</v>
      </c>
      <c r="C1032" s="51" t="s">
        <v>158</v>
      </c>
      <c r="D1032" s="49">
        <v>129.89434</v>
      </c>
      <c r="E1032" s="49">
        <v>129.89434</v>
      </c>
      <c r="F1032" s="49">
        <v>129.89434</v>
      </c>
      <c r="G1032" s="51" t="s">
        <v>342</v>
      </c>
    </row>
    <row r="1033" spans="1:7" s="1" customFormat="1" ht="47.25">
      <c r="A1033" s="114" t="s">
        <v>341</v>
      </c>
      <c r="B1033" s="90" t="s">
        <v>340</v>
      </c>
      <c r="C1033" s="51" t="s">
        <v>158</v>
      </c>
      <c r="D1033" s="49">
        <v>158.96714</v>
      </c>
      <c r="E1033" s="49">
        <v>158.96714</v>
      </c>
      <c r="F1033" s="49">
        <v>158.96714</v>
      </c>
      <c r="G1033" s="51" t="s">
        <v>268</v>
      </c>
    </row>
    <row r="1034" spans="1:7" s="1" customFormat="1" ht="15.6" customHeight="1">
      <c r="A1034" s="119" t="s">
        <v>339</v>
      </c>
      <c r="B1034" s="113" t="s">
        <v>338</v>
      </c>
      <c r="C1034" s="51" t="s">
        <v>158</v>
      </c>
      <c r="D1034" s="56">
        <v>529.24273999999991</v>
      </c>
      <c r="E1034" s="56">
        <v>529.24273999999991</v>
      </c>
      <c r="F1034" s="49">
        <v>159.54775000000001</v>
      </c>
      <c r="G1034" s="51" t="s">
        <v>337</v>
      </c>
    </row>
    <row r="1035" spans="1:7" s="1" customFormat="1" ht="33" customHeight="1">
      <c r="A1035" s="118"/>
      <c r="B1035" s="112"/>
      <c r="C1035" s="51" t="s">
        <v>240</v>
      </c>
      <c r="D1035" s="50"/>
      <c r="E1035" s="50"/>
      <c r="F1035" s="49">
        <v>1.61595</v>
      </c>
      <c r="G1035" s="51" t="s">
        <v>316</v>
      </c>
    </row>
    <row r="1036" spans="1:7" s="1" customFormat="1" ht="31.5">
      <c r="A1036" s="114" t="s">
        <v>336</v>
      </c>
      <c r="B1036" s="90" t="s">
        <v>335</v>
      </c>
      <c r="C1036" s="51"/>
      <c r="D1036" s="49">
        <v>1318.3008600000001</v>
      </c>
      <c r="E1036" s="49">
        <v>1318.3008600000001</v>
      </c>
      <c r="F1036" s="116">
        <v>0</v>
      </c>
      <c r="G1036" s="115" t="s">
        <v>334</v>
      </c>
    </row>
    <row r="1037" spans="1:7" s="1" customFormat="1" ht="31.5">
      <c r="A1037" s="114" t="s">
        <v>292</v>
      </c>
      <c r="B1037" s="90" t="s">
        <v>333</v>
      </c>
      <c r="C1037" s="51" t="s">
        <v>158</v>
      </c>
      <c r="D1037" s="49">
        <v>642.22155999999995</v>
      </c>
      <c r="E1037" s="49">
        <v>642.22155999999995</v>
      </c>
      <c r="F1037" s="49">
        <v>642.22155999999995</v>
      </c>
      <c r="G1037" s="51" t="s">
        <v>332</v>
      </c>
    </row>
    <row r="1038" spans="1:7" s="1" customFormat="1" ht="47.25">
      <c r="A1038" s="51" t="s">
        <v>331</v>
      </c>
      <c r="B1038" s="51" t="s">
        <v>331</v>
      </c>
      <c r="C1038" s="51" t="s">
        <v>158</v>
      </c>
      <c r="D1038" s="49">
        <f>323.688+6.654</f>
        <v>330.34199999999998</v>
      </c>
      <c r="E1038" s="49">
        <f>323.688+6.654</f>
        <v>330.34199999999998</v>
      </c>
      <c r="F1038" s="116">
        <v>0</v>
      </c>
      <c r="G1038" s="115" t="s">
        <v>268</v>
      </c>
    </row>
    <row r="1039" spans="1:7" s="1" customFormat="1" ht="47.25">
      <c r="A1039" s="51" t="s">
        <v>330</v>
      </c>
      <c r="B1039" s="51" t="s">
        <v>330</v>
      </c>
      <c r="C1039" s="51" t="s">
        <v>158</v>
      </c>
      <c r="D1039" s="49">
        <v>476.56162</v>
      </c>
      <c r="E1039" s="49">
        <v>0</v>
      </c>
      <c r="F1039" s="116">
        <v>0</v>
      </c>
      <c r="G1039" s="115" t="s">
        <v>328</v>
      </c>
    </row>
    <row r="1040" spans="1:7" s="1" customFormat="1" ht="47.25">
      <c r="A1040" s="51" t="s">
        <v>329</v>
      </c>
      <c r="B1040" s="51" t="s">
        <v>329</v>
      </c>
      <c r="C1040" s="51" t="s">
        <v>158</v>
      </c>
      <c r="D1040" s="69">
        <v>412.87903999999997</v>
      </c>
      <c r="E1040" s="49">
        <v>0</v>
      </c>
      <c r="F1040" s="116">
        <v>0</v>
      </c>
      <c r="G1040" s="117" t="s">
        <v>328</v>
      </c>
    </row>
    <row r="1041" spans="1:7" s="1" customFormat="1" ht="47.25">
      <c r="A1041" s="51" t="s">
        <v>327</v>
      </c>
      <c r="B1041" s="51" t="s">
        <v>327</v>
      </c>
      <c r="C1041" s="51" t="s">
        <v>158</v>
      </c>
      <c r="D1041" s="69">
        <v>202.50467999999998</v>
      </c>
      <c r="E1041" s="69">
        <v>202.50467999999998</v>
      </c>
      <c r="F1041" s="69">
        <v>202.50467999999998</v>
      </c>
      <c r="G1041" s="51" t="s">
        <v>326</v>
      </c>
    </row>
    <row r="1042" spans="1:7" s="1" customFormat="1" ht="47.25">
      <c r="A1042" s="114" t="s">
        <v>325</v>
      </c>
      <c r="B1042" s="114" t="s">
        <v>324</v>
      </c>
      <c r="C1042" s="51"/>
      <c r="D1042" s="110">
        <v>37.107599999999998</v>
      </c>
      <c r="E1042" s="110">
        <f>SUM(E1043:E1048)</f>
        <v>34.407600000000002</v>
      </c>
      <c r="F1042" s="110">
        <f>SUM(F1043:F1048)</f>
        <v>34.407600000000002</v>
      </c>
      <c r="G1042" s="51"/>
    </row>
    <row r="1043" spans="1:7" s="1" customFormat="1" ht="47.25">
      <c r="A1043" s="114" t="s">
        <v>323</v>
      </c>
      <c r="B1043" s="114" t="s">
        <v>322</v>
      </c>
      <c r="C1043" s="51" t="s">
        <v>240</v>
      </c>
      <c r="D1043" s="49">
        <v>2.7</v>
      </c>
      <c r="E1043" s="49">
        <v>0</v>
      </c>
      <c r="F1043" s="116">
        <v>0</v>
      </c>
      <c r="G1043" s="115" t="s">
        <v>321</v>
      </c>
    </row>
    <row r="1044" spans="1:7" s="1" customFormat="1" ht="63">
      <c r="A1044" s="114" t="s">
        <v>320</v>
      </c>
      <c r="B1044" s="114" t="s">
        <v>319</v>
      </c>
      <c r="C1044" s="51" t="s">
        <v>240</v>
      </c>
      <c r="D1044" s="49">
        <v>2.7</v>
      </c>
      <c r="E1044" s="49">
        <v>2.7</v>
      </c>
      <c r="F1044" s="49">
        <v>2.7</v>
      </c>
      <c r="G1044" s="51" t="s">
        <v>316</v>
      </c>
    </row>
    <row r="1045" spans="1:7" s="1" customFormat="1" ht="47.25">
      <c r="A1045" s="114" t="s">
        <v>318</v>
      </c>
      <c r="B1045" s="114" t="s">
        <v>317</v>
      </c>
      <c r="C1045" s="51" t="s">
        <v>240</v>
      </c>
      <c r="D1045" s="49">
        <v>2.7</v>
      </c>
      <c r="E1045" s="49">
        <v>2.7</v>
      </c>
      <c r="F1045" s="49">
        <v>2.7</v>
      </c>
      <c r="G1045" s="51" t="s">
        <v>316</v>
      </c>
    </row>
    <row r="1046" spans="1:7" s="1" customFormat="1" ht="47.25">
      <c r="A1046" s="114" t="s">
        <v>315</v>
      </c>
      <c r="B1046" s="114" t="s">
        <v>314</v>
      </c>
      <c r="C1046" s="51" t="s">
        <v>309</v>
      </c>
      <c r="D1046" s="49">
        <v>9.6692</v>
      </c>
      <c r="E1046" s="49">
        <v>9.6692</v>
      </c>
      <c r="F1046" s="49">
        <v>9.6692</v>
      </c>
      <c r="G1046" s="51" t="s">
        <v>308</v>
      </c>
    </row>
    <row r="1047" spans="1:7" s="1" customFormat="1" ht="47.25">
      <c r="A1047" s="114" t="s">
        <v>313</v>
      </c>
      <c r="B1047" s="114" t="s">
        <v>312</v>
      </c>
      <c r="C1047" s="51" t="s">
        <v>309</v>
      </c>
      <c r="D1047" s="49">
        <v>9.6692</v>
      </c>
      <c r="E1047" s="49">
        <v>9.6692</v>
      </c>
      <c r="F1047" s="49">
        <v>9.6692</v>
      </c>
      <c r="G1047" s="51" t="s">
        <v>308</v>
      </c>
    </row>
    <row r="1048" spans="1:7" s="1" customFormat="1" ht="47.25">
      <c r="A1048" s="114" t="s">
        <v>311</v>
      </c>
      <c r="B1048" s="114" t="s">
        <v>310</v>
      </c>
      <c r="C1048" s="51" t="s">
        <v>309</v>
      </c>
      <c r="D1048" s="49">
        <v>9.6692</v>
      </c>
      <c r="E1048" s="49">
        <v>9.6692</v>
      </c>
      <c r="F1048" s="49">
        <v>9.6692</v>
      </c>
      <c r="G1048" s="51" t="s">
        <v>308</v>
      </c>
    </row>
    <row r="1049" spans="1:7" s="1" customFormat="1">
      <c r="A1049" s="90" t="s">
        <v>307</v>
      </c>
      <c r="B1049" s="90" t="s">
        <v>307</v>
      </c>
      <c r="C1049" s="51"/>
      <c r="D1049" s="49">
        <v>50</v>
      </c>
      <c r="E1049" s="49">
        <v>0</v>
      </c>
      <c r="F1049" s="49">
        <v>0</v>
      </c>
      <c r="G1049" s="51"/>
    </row>
    <row r="1050" spans="1:7" s="1" customFormat="1">
      <c r="A1050" s="113" t="s">
        <v>306</v>
      </c>
      <c r="B1050" s="113" t="s">
        <v>306</v>
      </c>
      <c r="C1050" s="51" t="s">
        <v>158</v>
      </c>
      <c r="D1050" s="56">
        <v>664.93259999999998</v>
      </c>
      <c r="E1050" s="56">
        <v>664.93259999999998</v>
      </c>
      <c r="F1050" s="49">
        <v>349.92099999999999</v>
      </c>
      <c r="G1050" s="66" t="s">
        <v>300</v>
      </c>
    </row>
    <row r="1051" spans="1:7" s="1" customFormat="1" ht="31.5">
      <c r="A1051" s="112"/>
      <c r="B1051" s="112"/>
      <c r="C1051" s="51" t="s">
        <v>301</v>
      </c>
      <c r="D1051" s="50"/>
      <c r="E1051" s="50"/>
      <c r="F1051" s="49">
        <v>315.01195999999999</v>
      </c>
      <c r="G1051" s="64"/>
    </row>
    <row r="1052" spans="1:7" s="1" customFormat="1">
      <c r="A1052" s="90" t="s">
        <v>305</v>
      </c>
      <c r="B1052" s="90" t="s">
        <v>305</v>
      </c>
      <c r="C1052" s="51"/>
      <c r="D1052" s="49">
        <v>50</v>
      </c>
      <c r="E1052" s="49">
        <v>0</v>
      </c>
      <c r="F1052" s="49">
        <v>0</v>
      </c>
      <c r="G1052" s="51"/>
    </row>
    <row r="1053" spans="1:7" s="1" customFormat="1">
      <c r="A1053" s="66" t="s">
        <v>304</v>
      </c>
      <c r="B1053" s="66" t="s">
        <v>304</v>
      </c>
      <c r="C1053" s="51" t="s">
        <v>158</v>
      </c>
      <c r="D1053" s="56">
        <v>679.24159999999995</v>
      </c>
      <c r="E1053" s="56">
        <v>679.24159999999995</v>
      </c>
      <c r="F1053" s="49">
        <v>359.89596</v>
      </c>
      <c r="G1053" s="66" t="s">
        <v>300</v>
      </c>
    </row>
    <row r="1054" spans="1:7" s="1" customFormat="1" ht="31.5">
      <c r="A1054" s="64"/>
      <c r="B1054" s="64"/>
      <c r="C1054" s="51" t="s">
        <v>301</v>
      </c>
      <c r="D1054" s="50"/>
      <c r="E1054" s="50"/>
      <c r="F1054" s="49">
        <v>319.34564</v>
      </c>
      <c r="G1054" s="64"/>
    </row>
    <row r="1055" spans="1:7" s="1" customFormat="1">
      <c r="A1055" s="51" t="s">
        <v>303</v>
      </c>
      <c r="B1055" s="51" t="s">
        <v>303</v>
      </c>
      <c r="C1055" s="51"/>
      <c r="D1055" s="49">
        <v>53.651000000000003</v>
      </c>
      <c r="E1055" s="49">
        <v>0</v>
      </c>
      <c r="F1055" s="49">
        <v>0</v>
      </c>
      <c r="G1055" s="51"/>
    </row>
    <row r="1056" spans="1:7" s="1" customFormat="1" ht="31.5">
      <c r="A1056" s="66" t="s">
        <v>302</v>
      </c>
      <c r="B1056" s="66" t="s">
        <v>302</v>
      </c>
      <c r="C1056" s="51" t="s">
        <v>301</v>
      </c>
      <c r="D1056" s="56">
        <v>585.23580000000004</v>
      </c>
      <c r="E1056" s="56">
        <v>585.23580000000004</v>
      </c>
      <c r="F1056" s="49">
        <v>211.19438</v>
      </c>
      <c r="G1056" s="66" t="s">
        <v>300</v>
      </c>
    </row>
    <row r="1057" spans="1:7" s="1" customFormat="1">
      <c r="A1057" s="64"/>
      <c r="B1057" s="64"/>
      <c r="C1057" s="51" t="s">
        <v>158</v>
      </c>
      <c r="D1057" s="50"/>
      <c r="E1057" s="50"/>
      <c r="F1057" s="49">
        <v>374.04142000000002</v>
      </c>
      <c r="G1057" s="64"/>
    </row>
    <row r="1058" spans="1:7" s="1" customFormat="1">
      <c r="A1058" s="51" t="s">
        <v>299</v>
      </c>
      <c r="B1058" s="51" t="s">
        <v>299</v>
      </c>
      <c r="C1058" s="51" t="s">
        <v>153</v>
      </c>
      <c r="D1058" s="49">
        <f>245.76863+5.38367</f>
        <v>251.1523</v>
      </c>
      <c r="E1058" s="49">
        <f>245.76863+5.38367</f>
        <v>251.1523</v>
      </c>
      <c r="F1058" s="49">
        <v>3.2684199999999999</v>
      </c>
      <c r="G1058" s="51" t="s">
        <v>293</v>
      </c>
    </row>
    <row r="1059" spans="1:7" s="1" customFormat="1">
      <c r="A1059" s="51" t="s">
        <v>298</v>
      </c>
      <c r="B1059" s="51" t="s">
        <v>298</v>
      </c>
      <c r="C1059" s="51" t="s">
        <v>153</v>
      </c>
      <c r="D1059" s="49">
        <f>245.76863+5.38367</f>
        <v>251.1523</v>
      </c>
      <c r="E1059" s="49">
        <f>245.76863+5.38367</f>
        <v>251.1523</v>
      </c>
      <c r="F1059" s="49">
        <v>3.2684199999999999</v>
      </c>
      <c r="G1059" s="51" t="s">
        <v>293</v>
      </c>
    </row>
    <row r="1060" spans="1:7" s="1" customFormat="1">
      <c r="A1060" s="66" t="s">
        <v>297</v>
      </c>
      <c r="B1060" s="66" t="s">
        <v>297</v>
      </c>
      <c r="C1060" s="51" t="s">
        <v>158</v>
      </c>
      <c r="D1060" s="56">
        <v>251.44815</v>
      </c>
      <c r="E1060" s="56">
        <v>251.44815</v>
      </c>
      <c r="F1060" s="49">
        <v>248.17973000000001</v>
      </c>
      <c r="G1060" s="111" t="s">
        <v>294</v>
      </c>
    </row>
    <row r="1061" spans="1:7" s="1" customFormat="1">
      <c r="A1061" s="64"/>
      <c r="B1061" s="64"/>
      <c r="C1061" s="51" t="s">
        <v>153</v>
      </c>
      <c r="D1061" s="50"/>
      <c r="E1061" s="50"/>
      <c r="F1061" s="110">
        <v>3.2684199999999999</v>
      </c>
      <c r="G1061" s="51" t="s">
        <v>293</v>
      </c>
    </row>
    <row r="1062" spans="1:7" s="1" customFormat="1">
      <c r="A1062" s="51" t="s">
        <v>296</v>
      </c>
      <c r="B1062" s="51" t="s">
        <v>296</v>
      </c>
      <c r="C1062" s="51" t="s">
        <v>153</v>
      </c>
      <c r="D1062" s="49">
        <f>245.76863+5.38367</f>
        <v>251.1523</v>
      </c>
      <c r="E1062" s="49">
        <f>245.76863+5.38367</f>
        <v>251.1523</v>
      </c>
      <c r="F1062" s="49">
        <v>3.2684199999999999</v>
      </c>
      <c r="G1062" s="51" t="s">
        <v>293</v>
      </c>
    </row>
    <row r="1063" spans="1:7" s="1" customFormat="1">
      <c r="A1063" s="66" t="s">
        <v>295</v>
      </c>
      <c r="B1063" s="66" t="s">
        <v>295</v>
      </c>
      <c r="C1063" s="51" t="s">
        <v>158</v>
      </c>
      <c r="D1063" s="56">
        <v>251.44815</v>
      </c>
      <c r="E1063" s="56">
        <v>251.44815</v>
      </c>
      <c r="F1063" s="49">
        <v>248.17973000000001</v>
      </c>
      <c r="G1063" s="111" t="s">
        <v>294</v>
      </c>
    </row>
    <row r="1064" spans="1:7" s="1" customFormat="1">
      <c r="A1064" s="64"/>
      <c r="B1064" s="64"/>
      <c r="C1064" s="51" t="s">
        <v>153</v>
      </c>
      <c r="D1064" s="50"/>
      <c r="E1064" s="50"/>
      <c r="F1064" s="110">
        <v>3.2684199999999999</v>
      </c>
      <c r="G1064" s="51" t="s">
        <v>293</v>
      </c>
    </row>
    <row r="1065" spans="1:7" s="1" customFormat="1">
      <c r="A1065" s="51" t="s">
        <v>292</v>
      </c>
      <c r="B1065" s="51" t="s">
        <v>292</v>
      </c>
      <c r="C1065" s="51"/>
      <c r="D1065" s="49">
        <v>3.7869999999999999</v>
      </c>
      <c r="E1065" s="49">
        <v>0</v>
      </c>
      <c r="F1065" s="49">
        <v>0</v>
      </c>
      <c r="G1065" s="51"/>
    </row>
    <row r="1066" spans="1:7" s="1" customFormat="1">
      <c r="A1066" s="51" t="s">
        <v>291</v>
      </c>
      <c r="B1066" s="51" t="s">
        <v>291</v>
      </c>
      <c r="C1066" s="51"/>
      <c r="D1066" s="49">
        <v>3.7869999999999999</v>
      </c>
      <c r="E1066" s="49">
        <v>0</v>
      </c>
      <c r="F1066" s="49">
        <v>0</v>
      </c>
      <c r="G1066" s="51"/>
    </row>
    <row r="1067" spans="1:7" s="1" customFormat="1">
      <c r="A1067" s="51" t="s">
        <v>290</v>
      </c>
      <c r="B1067" s="51" t="s">
        <v>290</v>
      </c>
      <c r="C1067" s="51"/>
      <c r="D1067" s="49">
        <v>3.7869999999999999</v>
      </c>
      <c r="E1067" s="49">
        <v>0</v>
      </c>
      <c r="F1067" s="49">
        <v>0</v>
      </c>
      <c r="G1067" s="51"/>
    </row>
    <row r="1068" spans="1:7" s="1" customFormat="1">
      <c r="A1068" s="13" t="s">
        <v>289</v>
      </c>
      <c r="B1068" s="13" t="s">
        <v>289</v>
      </c>
      <c r="C1068" s="51"/>
      <c r="D1068" s="49">
        <v>3.7869999999999999</v>
      </c>
      <c r="E1068" s="49">
        <v>0</v>
      </c>
      <c r="F1068" s="49">
        <v>0</v>
      </c>
      <c r="G1068" s="51"/>
    </row>
    <row r="1069" spans="1:7" s="1" customFormat="1">
      <c r="A1069" s="13" t="s">
        <v>288</v>
      </c>
      <c r="B1069" s="13" t="s">
        <v>288</v>
      </c>
      <c r="C1069" s="51"/>
      <c r="D1069" s="49">
        <v>3.7869999999999999</v>
      </c>
      <c r="E1069" s="49">
        <v>0</v>
      </c>
      <c r="F1069" s="49">
        <v>0</v>
      </c>
      <c r="G1069" s="51"/>
    </row>
    <row r="1070" spans="1:7" s="1" customFormat="1">
      <c r="A1070" s="47" t="s">
        <v>287</v>
      </c>
      <c r="B1070" s="61"/>
      <c r="C1070" s="61"/>
      <c r="D1070" s="44">
        <f>SUM(D653,D993)</f>
        <v>24274.995500000008</v>
      </c>
      <c r="E1070" s="44">
        <f>SUM(E653,E993)</f>
        <v>21300.706000000006</v>
      </c>
      <c r="F1070" s="44">
        <f>SUM(F653,F993)</f>
        <v>13218.152530000005</v>
      </c>
      <c r="G1070" s="43"/>
    </row>
    <row r="1071" spans="1:7" s="1" customFormat="1" ht="15.6" customHeight="1">
      <c r="A1071" s="86" t="s">
        <v>286</v>
      </c>
      <c r="B1071" s="85"/>
      <c r="C1071" s="85"/>
      <c r="D1071" s="85"/>
      <c r="E1071" s="85"/>
      <c r="F1071" s="85"/>
      <c r="G1071" s="84"/>
    </row>
    <row r="1072" spans="1:7" s="1" customFormat="1" ht="31.5">
      <c r="A1072" s="109" t="s">
        <v>285</v>
      </c>
      <c r="B1072" s="108" t="s">
        <v>285</v>
      </c>
      <c r="C1072" s="105" t="s">
        <v>284</v>
      </c>
      <c r="D1072" s="107">
        <v>3760</v>
      </c>
      <c r="E1072" s="107">
        <v>3760</v>
      </c>
      <c r="F1072" s="106">
        <v>0</v>
      </c>
      <c r="G1072" s="105"/>
    </row>
    <row r="1073" spans="1:7" s="1" customFormat="1" ht="94.5">
      <c r="A1073" s="61" t="s">
        <v>283</v>
      </c>
      <c r="B1073" s="61" t="s">
        <v>283</v>
      </c>
      <c r="C1073" s="61" t="s">
        <v>153</v>
      </c>
      <c r="D1073" s="49">
        <v>998</v>
      </c>
      <c r="E1073" s="49">
        <v>698</v>
      </c>
      <c r="F1073" s="49">
        <v>63.103999999999999</v>
      </c>
      <c r="G1073" s="61" t="s">
        <v>173</v>
      </c>
    </row>
    <row r="1074" spans="1:7" s="1" customFormat="1" ht="63">
      <c r="A1074" s="104" t="s">
        <v>282</v>
      </c>
      <c r="B1074" s="104" t="s">
        <v>282</v>
      </c>
      <c r="C1074" s="88" t="s">
        <v>158</v>
      </c>
      <c r="D1074" s="49">
        <v>412.73399999999998</v>
      </c>
      <c r="E1074" s="92">
        <v>412.73399999999998</v>
      </c>
      <c r="F1074" s="95">
        <v>361.88817</v>
      </c>
      <c r="G1074" s="88" t="s">
        <v>281</v>
      </c>
    </row>
    <row r="1075" spans="1:7" s="1" customFormat="1" ht="15.6" customHeight="1">
      <c r="A1075" s="101" t="s">
        <v>280</v>
      </c>
      <c r="B1075" s="101" t="s">
        <v>280</v>
      </c>
      <c r="C1075" s="88" t="s">
        <v>153</v>
      </c>
      <c r="D1075" s="56">
        <v>1013.316</v>
      </c>
      <c r="E1075" s="56">
        <v>1013.316</v>
      </c>
      <c r="F1075" s="95">
        <v>49.86</v>
      </c>
      <c r="G1075" s="88" t="s">
        <v>279</v>
      </c>
    </row>
    <row r="1076" spans="1:7" s="1" customFormat="1" ht="31.5">
      <c r="A1076" s="103"/>
      <c r="B1076" s="103"/>
      <c r="C1076" s="88" t="s">
        <v>278</v>
      </c>
      <c r="D1076" s="53"/>
      <c r="E1076" s="53"/>
      <c r="F1076" s="95">
        <v>0.96479999999999999</v>
      </c>
      <c r="G1076" s="88" t="s">
        <v>277</v>
      </c>
    </row>
    <row r="1077" spans="1:7" s="1" customFormat="1" ht="69" customHeight="1">
      <c r="A1077" s="100"/>
      <c r="B1077" s="100"/>
      <c r="C1077" s="88" t="s">
        <v>158</v>
      </c>
      <c r="D1077" s="50"/>
      <c r="E1077" s="50"/>
      <c r="F1077" s="95">
        <v>792.67420000000004</v>
      </c>
      <c r="G1077" s="102" t="s">
        <v>244</v>
      </c>
    </row>
    <row r="1078" spans="1:7" s="1" customFormat="1" ht="15.6" customHeight="1">
      <c r="A1078" s="66" t="s">
        <v>276</v>
      </c>
      <c r="B1078" s="66" t="s">
        <v>276</v>
      </c>
      <c r="C1078" s="88" t="s">
        <v>153</v>
      </c>
      <c r="D1078" s="56">
        <v>1228.5826300000001</v>
      </c>
      <c r="E1078" s="56">
        <v>1228.5826300000001</v>
      </c>
      <c r="F1078" s="95">
        <v>50.576000000000001</v>
      </c>
      <c r="G1078" s="88" t="s">
        <v>152</v>
      </c>
    </row>
    <row r="1079" spans="1:7" s="1" customFormat="1" ht="47.45" customHeight="1">
      <c r="A1079" s="64"/>
      <c r="B1079" s="64"/>
      <c r="C1079" s="88" t="s">
        <v>158</v>
      </c>
      <c r="D1079" s="50"/>
      <c r="E1079" s="50"/>
      <c r="F1079" s="95">
        <v>1168.30495</v>
      </c>
      <c r="G1079" s="88" t="s">
        <v>275</v>
      </c>
    </row>
    <row r="1080" spans="1:7" s="1" customFormat="1" ht="15.6" customHeight="1">
      <c r="A1080" s="101" t="s">
        <v>274</v>
      </c>
      <c r="B1080" s="101" t="s">
        <v>274</v>
      </c>
      <c r="C1080" s="88"/>
      <c r="D1080" s="56">
        <v>12173.17712</v>
      </c>
      <c r="E1080" s="56">
        <v>2993.4461200000001</v>
      </c>
      <c r="F1080" s="99">
        <v>0</v>
      </c>
      <c r="G1080" s="97" t="s">
        <v>173</v>
      </c>
    </row>
    <row r="1081" spans="1:7" s="1" customFormat="1" ht="44.45" customHeight="1">
      <c r="A1081" s="100"/>
      <c r="B1081" s="100"/>
      <c r="C1081" s="88"/>
      <c r="D1081" s="50"/>
      <c r="E1081" s="50"/>
      <c r="F1081" s="99">
        <v>0</v>
      </c>
      <c r="G1081" s="97" t="s">
        <v>273</v>
      </c>
    </row>
    <row r="1082" spans="1:7" s="1" customFormat="1" ht="47.25">
      <c r="A1082" s="61" t="s">
        <v>272</v>
      </c>
      <c r="B1082" s="61" t="s">
        <v>272</v>
      </c>
      <c r="C1082" s="88" t="s">
        <v>158</v>
      </c>
      <c r="D1082" s="92">
        <v>9926.1692500000008</v>
      </c>
      <c r="E1082" s="92">
        <v>9926.1692500000008</v>
      </c>
      <c r="F1082" s="95">
        <v>8097.3830799999996</v>
      </c>
      <c r="G1082" s="88" t="s">
        <v>271</v>
      </c>
    </row>
    <row r="1083" spans="1:7" s="1" customFormat="1" ht="15.6" customHeight="1">
      <c r="A1083" s="66" t="s">
        <v>270</v>
      </c>
      <c r="B1083" s="66" t="s">
        <v>270</v>
      </c>
      <c r="C1083" s="88" t="s">
        <v>153</v>
      </c>
      <c r="D1083" s="56">
        <v>1393.422</v>
      </c>
      <c r="E1083" s="56">
        <v>1393.422</v>
      </c>
      <c r="F1083" s="95">
        <v>57.665599999999998</v>
      </c>
      <c r="G1083" s="88" t="s">
        <v>173</v>
      </c>
    </row>
    <row r="1084" spans="1:7" s="1" customFormat="1" ht="73.900000000000006" customHeight="1">
      <c r="A1084" s="64"/>
      <c r="B1084" s="64"/>
      <c r="C1084" s="88" t="s">
        <v>158</v>
      </c>
      <c r="D1084" s="50"/>
      <c r="E1084" s="50"/>
      <c r="F1084" s="95">
        <v>707.87379999999996</v>
      </c>
      <c r="G1084" s="88" t="s">
        <v>244</v>
      </c>
    </row>
    <row r="1085" spans="1:7" s="1" customFormat="1" ht="15.6" customHeight="1">
      <c r="A1085" s="66" t="s">
        <v>269</v>
      </c>
      <c r="B1085" s="66" t="s">
        <v>269</v>
      </c>
      <c r="C1085" s="88" t="s">
        <v>153</v>
      </c>
      <c r="D1085" s="56">
        <v>1499.758</v>
      </c>
      <c r="E1085" s="56">
        <v>988.35799999999995</v>
      </c>
      <c r="F1085" s="95">
        <v>57.792000000000002</v>
      </c>
      <c r="G1085" s="88" t="s">
        <v>152</v>
      </c>
    </row>
    <row r="1086" spans="1:7" s="1" customFormat="1" ht="64.150000000000006" customHeight="1">
      <c r="A1086" s="64"/>
      <c r="B1086" s="64"/>
      <c r="C1086" s="88" t="s">
        <v>158</v>
      </c>
      <c r="D1086" s="50"/>
      <c r="E1086" s="50"/>
      <c r="F1086" s="95">
        <v>460.17264999999998</v>
      </c>
      <c r="G1086" s="88" t="s">
        <v>268</v>
      </c>
    </row>
    <row r="1087" spans="1:7" s="1" customFormat="1" ht="47.25">
      <c r="A1087" s="61" t="s">
        <v>267</v>
      </c>
      <c r="B1087" s="61" t="s">
        <v>267</v>
      </c>
      <c r="C1087" s="88"/>
      <c r="D1087" s="49">
        <v>199.76</v>
      </c>
      <c r="E1087" s="92">
        <v>0</v>
      </c>
      <c r="F1087" s="98">
        <v>0</v>
      </c>
      <c r="G1087" s="97" t="s">
        <v>152</v>
      </c>
    </row>
    <row r="1088" spans="1:7" s="1" customFormat="1" ht="78.75">
      <c r="A1088" s="61" t="s">
        <v>266</v>
      </c>
      <c r="B1088" s="61" t="s">
        <v>266</v>
      </c>
      <c r="C1088" s="88"/>
      <c r="D1088" s="49">
        <v>48.598999999999997</v>
      </c>
      <c r="E1088" s="92">
        <v>0</v>
      </c>
      <c r="F1088" s="98">
        <v>0</v>
      </c>
      <c r="G1088" s="97" t="s">
        <v>173</v>
      </c>
    </row>
    <row r="1089" spans="1:7" s="1" customFormat="1" ht="47.25">
      <c r="A1089" s="61" t="s">
        <v>265</v>
      </c>
      <c r="B1089" s="61" t="s">
        <v>265</v>
      </c>
      <c r="C1089" s="88"/>
      <c r="D1089" s="49">
        <v>153.51</v>
      </c>
      <c r="E1089" s="92">
        <v>0</v>
      </c>
      <c r="F1089" s="98">
        <v>0</v>
      </c>
      <c r="G1089" s="97" t="s">
        <v>264</v>
      </c>
    </row>
    <row r="1090" spans="1:7" s="1" customFormat="1" ht="63">
      <c r="A1090" s="51" t="s">
        <v>263</v>
      </c>
      <c r="B1090" s="51" t="s">
        <v>263</v>
      </c>
      <c r="C1090" s="96" t="s">
        <v>153</v>
      </c>
      <c r="D1090" s="49">
        <v>3548.6221999999998</v>
      </c>
      <c r="E1090" s="49">
        <v>1698.625</v>
      </c>
      <c r="F1090" s="95">
        <v>136.57419999999999</v>
      </c>
      <c r="G1090" s="51" t="s">
        <v>262</v>
      </c>
    </row>
    <row r="1091" spans="1:7" s="1" customFormat="1" ht="63">
      <c r="A1091" s="51" t="s">
        <v>261</v>
      </c>
      <c r="B1091" s="51" t="s">
        <v>261</v>
      </c>
      <c r="C1091" s="88"/>
      <c r="D1091" s="49">
        <v>150.00280000000001</v>
      </c>
      <c r="E1091" s="92">
        <v>0</v>
      </c>
      <c r="F1091" s="95">
        <v>0</v>
      </c>
      <c r="G1091" s="88"/>
    </row>
    <row r="1092" spans="1:7" s="1" customFormat="1" ht="63">
      <c r="A1092" s="94" t="s">
        <v>260</v>
      </c>
      <c r="B1092" s="94" t="s">
        <v>260</v>
      </c>
      <c r="C1092" s="81" t="s">
        <v>158</v>
      </c>
      <c r="D1092" s="49">
        <v>1475.92914</v>
      </c>
      <c r="E1092" s="49">
        <v>1475.92914</v>
      </c>
      <c r="F1092" s="49">
        <v>1462.42914</v>
      </c>
      <c r="G1092" s="88" t="s">
        <v>238</v>
      </c>
    </row>
    <row r="1093" spans="1:7" s="1" customFormat="1" ht="47.25">
      <c r="A1093" s="93" t="s">
        <v>259</v>
      </c>
      <c r="B1093" s="93" t="s">
        <v>259</v>
      </c>
      <c r="C1093" s="88" t="s">
        <v>153</v>
      </c>
      <c r="D1093" s="49">
        <v>33.7316</v>
      </c>
      <c r="E1093" s="49">
        <v>33.7316</v>
      </c>
      <c r="F1093" s="49">
        <v>33.7316</v>
      </c>
      <c r="G1093" s="88" t="s">
        <v>235</v>
      </c>
    </row>
    <row r="1094" spans="1:7" s="1" customFormat="1" ht="47.25">
      <c r="A1094" s="93" t="s">
        <v>258</v>
      </c>
      <c r="B1094" s="93" t="s">
        <v>258</v>
      </c>
      <c r="C1094" s="88" t="s">
        <v>153</v>
      </c>
      <c r="D1094" s="49">
        <v>40.392000000000003</v>
      </c>
      <c r="E1094" s="49">
        <v>40.392000000000003</v>
      </c>
      <c r="F1094" s="49">
        <v>40.392000000000003</v>
      </c>
      <c r="G1094" s="88" t="s">
        <v>235</v>
      </c>
    </row>
    <row r="1095" spans="1:7" s="1" customFormat="1" ht="47.25">
      <c r="A1095" s="93" t="s">
        <v>257</v>
      </c>
      <c r="B1095" s="93" t="s">
        <v>257</v>
      </c>
      <c r="C1095" s="88" t="s">
        <v>153</v>
      </c>
      <c r="D1095" s="49">
        <v>33.887599999999999</v>
      </c>
      <c r="E1095" s="49">
        <v>33.887599999999999</v>
      </c>
      <c r="F1095" s="49">
        <v>33.887599999999999</v>
      </c>
      <c r="G1095" s="88" t="s">
        <v>235</v>
      </c>
    </row>
    <row r="1096" spans="1:7" s="1" customFormat="1" ht="60.6" customHeight="1">
      <c r="A1096" s="88" t="s">
        <v>256</v>
      </c>
      <c r="B1096" s="88" t="s">
        <v>256</v>
      </c>
      <c r="C1096" s="81" t="s">
        <v>158</v>
      </c>
      <c r="D1096" s="49">
        <f>867.66308-58.5039</f>
        <v>809.15917999999999</v>
      </c>
      <c r="E1096" s="49">
        <v>809.15917999999999</v>
      </c>
      <c r="F1096" s="49">
        <f>326.83268+7.38471+457.87947+10.31232</f>
        <v>802.40917999999999</v>
      </c>
      <c r="G1096" s="51" t="s">
        <v>255</v>
      </c>
    </row>
    <row r="1097" spans="1:7" s="1" customFormat="1" ht="15.6" customHeight="1">
      <c r="A1097" s="66" t="s">
        <v>254</v>
      </c>
      <c r="B1097" s="66" t="s">
        <v>254</v>
      </c>
      <c r="C1097" s="89" t="s">
        <v>153</v>
      </c>
      <c r="D1097" s="56">
        <v>1464.9444000000001</v>
      </c>
      <c r="E1097" s="56">
        <v>1464.9444000000001</v>
      </c>
      <c r="F1097" s="49">
        <v>41.896799999999999</v>
      </c>
      <c r="G1097" s="88" t="s">
        <v>235</v>
      </c>
    </row>
    <row r="1098" spans="1:7" s="1" customFormat="1" ht="37.9" customHeight="1">
      <c r="A1098" s="64"/>
      <c r="B1098" s="64"/>
      <c r="C1098" s="81" t="s">
        <v>158</v>
      </c>
      <c r="D1098" s="50"/>
      <c r="E1098" s="50"/>
      <c r="F1098" s="49">
        <v>1416.2976000000001</v>
      </c>
      <c r="G1098" s="88" t="s">
        <v>248</v>
      </c>
    </row>
    <row r="1099" spans="1:7" s="1" customFormat="1" ht="15.6" customHeight="1">
      <c r="A1099" s="66" t="s">
        <v>253</v>
      </c>
      <c r="B1099" s="66" t="s">
        <v>253</v>
      </c>
      <c r="C1099" s="89" t="s">
        <v>153</v>
      </c>
      <c r="D1099" s="56">
        <v>1447.5945999999999</v>
      </c>
      <c r="E1099" s="56">
        <v>1447.5945999999999</v>
      </c>
      <c r="F1099" s="49">
        <v>42.109200000000001</v>
      </c>
      <c r="G1099" s="88" t="s">
        <v>235</v>
      </c>
    </row>
    <row r="1100" spans="1:7" s="1" customFormat="1" ht="48" customHeight="1">
      <c r="A1100" s="64"/>
      <c r="B1100" s="64"/>
      <c r="C1100" s="81" t="s">
        <v>158</v>
      </c>
      <c r="D1100" s="50"/>
      <c r="E1100" s="50"/>
      <c r="F1100" s="49">
        <v>1398.7354</v>
      </c>
      <c r="G1100" s="88" t="s">
        <v>244</v>
      </c>
    </row>
    <row r="1101" spans="1:7" s="1" customFormat="1" ht="15.6" customHeight="1">
      <c r="A1101" s="66" t="s">
        <v>252</v>
      </c>
      <c r="B1101" s="66" t="s">
        <v>252</v>
      </c>
      <c r="C1101" s="89" t="s">
        <v>153</v>
      </c>
      <c r="D1101" s="56">
        <f>1384.01305-30.93626</f>
        <v>1353.0767900000001</v>
      </c>
      <c r="E1101" s="56">
        <v>1353.0767900000001</v>
      </c>
      <c r="F1101" s="49">
        <v>41.765999999999998</v>
      </c>
      <c r="G1101" s="88" t="s">
        <v>235</v>
      </c>
    </row>
    <row r="1102" spans="1:7" s="1" customFormat="1" ht="46.15" customHeight="1">
      <c r="A1102" s="64"/>
      <c r="B1102" s="64"/>
      <c r="C1102" s="81" t="s">
        <v>158</v>
      </c>
      <c r="D1102" s="50"/>
      <c r="E1102" s="50"/>
      <c r="F1102" s="49">
        <v>1304.56079</v>
      </c>
      <c r="G1102" s="88" t="s">
        <v>244</v>
      </c>
    </row>
    <row r="1103" spans="1:7" s="1" customFormat="1" ht="47.25">
      <c r="A1103" s="93" t="s">
        <v>251</v>
      </c>
      <c r="B1103" s="93" t="s">
        <v>251</v>
      </c>
      <c r="C1103" s="89" t="s">
        <v>153</v>
      </c>
      <c r="D1103" s="49">
        <v>246.48786999999999</v>
      </c>
      <c r="E1103" s="49">
        <v>53.528399999999998</v>
      </c>
      <c r="F1103" s="49">
        <v>53.528399999999998</v>
      </c>
      <c r="G1103" s="88" t="s">
        <v>235</v>
      </c>
    </row>
    <row r="1104" spans="1:7" s="1" customFormat="1" ht="15.6" customHeight="1">
      <c r="A1104" s="66" t="s">
        <v>250</v>
      </c>
      <c r="B1104" s="66" t="s">
        <v>250</v>
      </c>
      <c r="C1104" s="89" t="s">
        <v>153</v>
      </c>
      <c r="D1104" s="56">
        <v>1486.9030700000001</v>
      </c>
      <c r="E1104" s="56">
        <v>1486.9030700000001</v>
      </c>
      <c r="F1104" s="49">
        <v>41.951999999999998</v>
      </c>
      <c r="G1104" s="88" t="s">
        <v>235</v>
      </c>
    </row>
    <row r="1105" spans="1:7" s="1" customFormat="1" ht="39" customHeight="1">
      <c r="A1105" s="64"/>
      <c r="B1105" s="64"/>
      <c r="C1105" s="81" t="s">
        <v>158</v>
      </c>
      <c r="D1105" s="50"/>
      <c r="E1105" s="50"/>
      <c r="F1105" s="49">
        <v>1438.2010700000001</v>
      </c>
      <c r="G1105" s="88" t="s">
        <v>238</v>
      </c>
    </row>
    <row r="1106" spans="1:7" s="1" customFormat="1" ht="15.6" customHeight="1">
      <c r="A1106" s="66" t="s">
        <v>249</v>
      </c>
      <c r="B1106" s="66" t="s">
        <v>249</v>
      </c>
      <c r="C1106" s="89" t="s">
        <v>153</v>
      </c>
      <c r="D1106" s="56">
        <v>1070.12418</v>
      </c>
      <c r="E1106" s="56">
        <v>1070.12418</v>
      </c>
      <c r="F1106" s="92">
        <v>41.142000000000003</v>
      </c>
      <c r="G1106" s="88" t="s">
        <v>235</v>
      </c>
    </row>
    <row r="1107" spans="1:7" s="1" customFormat="1" ht="37.15" customHeight="1">
      <c r="A1107" s="64"/>
      <c r="B1107" s="64"/>
      <c r="C1107" s="81" t="s">
        <v>158</v>
      </c>
      <c r="D1107" s="50"/>
      <c r="E1107" s="50"/>
      <c r="F1107" s="69">
        <v>1022.23218</v>
      </c>
      <c r="G1107" s="70" t="s">
        <v>248</v>
      </c>
    </row>
    <row r="1108" spans="1:7" s="1" customFormat="1" ht="15.6" customHeight="1">
      <c r="A1108" s="66" t="s">
        <v>247</v>
      </c>
      <c r="B1108" s="66" t="s">
        <v>247</v>
      </c>
      <c r="C1108" s="81" t="s">
        <v>153</v>
      </c>
      <c r="D1108" s="56">
        <f>4110.499-872.2418</f>
        <v>3238.2572</v>
      </c>
      <c r="E1108" s="56">
        <v>1711.6093699999999</v>
      </c>
      <c r="F1108" s="49">
        <v>55.507199999999997</v>
      </c>
      <c r="G1108" s="51" t="s">
        <v>235</v>
      </c>
    </row>
    <row r="1109" spans="1:7" s="1" customFormat="1" ht="51.6" customHeight="1">
      <c r="A1109" s="64"/>
      <c r="B1109" s="64"/>
      <c r="C1109" s="81" t="s">
        <v>158</v>
      </c>
      <c r="D1109" s="50"/>
      <c r="E1109" s="50"/>
      <c r="F1109" s="69">
        <v>1656.1021699999999</v>
      </c>
      <c r="G1109" s="70" t="s">
        <v>246</v>
      </c>
    </row>
    <row r="1110" spans="1:7" s="1" customFormat="1" ht="15.6" customHeight="1">
      <c r="A1110" s="66" t="s">
        <v>245</v>
      </c>
      <c r="B1110" s="66" t="s">
        <v>245</v>
      </c>
      <c r="C1110" s="89" t="s">
        <v>153</v>
      </c>
      <c r="D1110" s="56">
        <v>2666.7560400000002</v>
      </c>
      <c r="E1110" s="56">
        <v>2186.3633399999999</v>
      </c>
      <c r="F1110" s="92">
        <f>53.1852</f>
        <v>53.185200000000002</v>
      </c>
      <c r="G1110" s="88" t="s">
        <v>235</v>
      </c>
    </row>
    <row r="1111" spans="1:7" s="1" customFormat="1" ht="51" customHeight="1">
      <c r="A1111" s="64"/>
      <c r="B1111" s="64"/>
      <c r="C1111" s="81" t="s">
        <v>158</v>
      </c>
      <c r="D1111" s="50"/>
      <c r="E1111" s="50"/>
      <c r="F1111" s="69">
        <v>1373.8814299999999</v>
      </c>
      <c r="G1111" s="70" t="s">
        <v>244</v>
      </c>
    </row>
    <row r="1112" spans="1:7" s="1" customFormat="1" ht="47.25">
      <c r="A1112" s="51" t="s">
        <v>243</v>
      </c>
      <c r="B1112" s="51" t="s">
        <v>243</v>
      </c>
      <c r="C1112" s="89" t="s">
        <v>153</v>
      </c>
      <c r="D1112" s="49">
        <v>67.991200000000006</v>
      </c>
      <c r="E1112" s="49">
        <v>67.991200000000006</v>
      </c>
      <c r="F1112" s="49">
        <v>67.991200000000006</v>
      </c>
      <c r="G1112" s="88" t="s">
        <v>235</v>
      </c>
    </row>
    <row r="1113" spans="1:7" s="1" customFormat="1" ht="65.45" customHeight="1">
      <c r="A1113" s="51" t="s">
        <v>242</v>
      </c>
      <c r="B1113" s="51" t="s">
        <v>242</v>
      </c>
      <c r="C1113" s="89" t="s">
        <v>153</v>
      </c>
      <c r="D1113" s="49">
        <f>36.744-1.8372</f>
        <v>34.906799999999997</v>
      </c>
      <c r="E1113" s="49">
        <v>34.906799999999997</v>
      </c>
      <c r="F1113" s="49">
        <v>34.906799999999997</v>
      </c>
      <c r="G1113" s="70" t="s">
        <v>239</v>
      </c>
    </row>
    <row r="1114" spans="1:7" s="1" customFormat="1" ht="15.6" customHeight="1">
      <c r="A1114" s="66" t="s">
        <v>241</v>
      </c>
      <c r="B1114" s="66" t="s">
        <v>241</v>
      </c>
      <c r="C1114" s="89" t="s">
        <v>153</v>
      </c>
      <c r="D1114" s="56">
        <v>1487.3251299999999</v>
      </c>
      <c r="E1114" s="56">
        <v>1487.3251299999999</v>
      </c>
      <c r="F1114" s="49">
        <v>35.3172</v>
      </c>
      <c r="G1114" s="70" t="s">
        <v>239</v>
      </c>
    </row>
    <row r="1115" spans="1:7" s="1" customFormat="1">
      <c r="A1115" s="91"/>
      <c r="B1115" s="91"/>
      <c r="C1115" s="89" t="s">
        <v>240</v>
      </c>
      <c r="D1115" s="53"/>
      <c r="E1115" s="53"/>
      <c r="F1115" s="49">
        <v>5.4</v>
      </c>
      <c r="G1115" s="70" t="s">
        <v>239</v>
      </c>
    </row>
    <row r="1116" spans="1:7" s="1" customFormat="1" ht="39" customHeight="1">
      <c r="A1116" s="64"/>
      <c r="B1116" s="64"/>
      <c r="C1116" s="90" t="s">
        <v>158</v>
      </c>
      <c r="D1116" s="50"/>
      <c r="E1116" s="50"/>
      <c r="F1116" s="49">
        <v>1446.6079299999999</v>
      </c>
      <c r="G1116" s="70" t="s">
        <v>238</v>
      </c>
    </row>
    <row r="1117" spans="1:7" s="1" customFormat="1" ht="47.25">
      <c r="A1117" s="51" t="s">
        <v>237</v>
      </c>
      <c r="B1117" s="51" t="s">
        <v>237</v>
      </c>
      <c r="C1117" s="89" t="s">
        <v>153</v>
      </c>
      <c r="D1117" s="49">
        <v>42.367199999999997</v>
      </c>
      <c r="E1117" s="49">
        <f>42.3672</f>
        <v>42.367199999999997</v>
      </c>
      <c r="F1117" s="49">
        <f>42.3672</f>
        <v>42.367199999999997</v>
      </c>
      <c r="G1117" s="88" t="s">
        <v>235</v>
      </c>
    </row>
    <row r="1118" spans="1:7" s="1" customFormat="1" ht="47.25">
      <c r="A1118" s="51" t="s">
        <v>236</v>
      </c>
      <c r="B1118" s="51" t="s">
        <v>236</v>
      </c>
      <c r="C1118" s="89" t="s">
        <v>153</v>
      </c>
      <c r="D1118" s="49">
        <v>44.73</v>
      </c>
      <c r="E1118" s="49">
        <v>44.73</v>
      </c>
      <c r="F1118" s="49">
        <f>44.73</f>
        <v>44.73</v>
      </c>
      <c r="G1118" s="88" t="s">
        <v>235</v>
      </c>
    </row>
    <row r="1119" spans="1:7" s="1" customFormat="1">
      <c r="A1119" s="47" t="s">
        <v>234</v>
      </c>
      <c r="B1119" s="61"/>
      <c r="C1119" s="61"/>
      <c r="D1119" s="87">
        <f>SUM(D1072:D1118)</f>
        <v>53550.21699999999</v>
      </c>
      <c r="E1119" s="87">
        <f>SUM(E1072:E1118)</f>
        <v>38957.216999999982</v>
      </c>
      <c r="F1119" s="87">
        <f>SUM(F1072:F1118)</f>
        <v>26036.100739999998</v>
      </c>
      <c r="G1119" s="43"/>
    </row>
    <row r="1120" spans="1:7" s="1" customFormat="1" ht="15.6" customHeight="1">
      <c r="A1120" s="86" t="s">
        <v>233</v>
      </c>
      <c r="B1120" s="85"/>
      <c r="C1120" s="85"/>
      <c r="D1120" s="85"/>
      <c r="E1120" s="85"/>
      <c r="F1120" s="85"/>
      <c r="G1120" s="84"/>
    </row>
    <row r="1121" spans="1:7" s="1" customFormat="1" ht="75.599999999999994" customHeight="1">
      <c r="A1121" s="61" t="s">
        <v>232</v>
      </c>
      <c r="B1121" s="51" t="s">
        <v>231</v>
      </c>
      <c r="C1121" s="81"/>
      <c r="D1121" s="49">
        <v>90</v>
      </c>
      <c r="E1121" s="82">
        <v>74</v>
      </c>
      <c r="F1121" s="49">
        <v>0</v>
      </c>
      <c r="G1121" s="43"/>
    </row>
    <row r="1122" spans="1:7" s="1" customFormat="1" ht="83.45" customHeight="1">
      <c r="A1122" s="51" t="s">
        <v>230</v>
      </c>
      <c r="B1122" s="51" t="s">
        <v>229</v>
      </c>
      <c r="C1122" s="61" t="s">
        <v>228</v>
      </c>
      <c r="D1122" s="49">
        <v>81.522999999999996</v>
      </c>
      <c r="E1122" s="82">
        <v>81.522999999999996</v>
      </c>
      <c r="F1122" s="83">
        <v>81.522999999999996</v>
      </c>
      <c r="G1122" s="61" t="s">
        <v>227</v>
      </c>
    </row>
    <row r="1123" spans="1:7" s="1" customFormat="1" ht="63">
      <c r="A1123" s="74" t="s">
        <v>226</v>
      </c>
      <c r="B1123" s="51" t="s">
        <v>225</v>
      </c>
      <c r="C1123" s="81"/>
      <c r="D1123" s="49">
        <v>90</v>
      </c>
      <c r="E1123" s="82">
        <v>0</v>
      </c>
      <c r="F1123" s="49">
        <v>0</v>
      </c>
      <c r="G1123" s="81"/>
    </row>
    <row r="1124" spans="1:7" s="1" customFormat="1" ht="63">
      <c r="A1124" s="74" t="s">
        <v>224</v>
      </c>
      <c r="B1124" s="51" t="s">
        <v>223</v>
      </c>
      <c r="C1124" s="81"/>
      <c r="D1124" s="49">
        <v>90</v>
      </c>
      <c r="E1124" s="49">
        <v>0</v>
      </c>
      <c r="F1124" s="49">
        <v>0</v>
      </c>
      <c r="G1124" s="81"/>
    </row>
    <row r="1125" spans="1:7" s="1" customFormat="1" ht="78.75">
      <c r="A1125" s="74" t="s">
        <v>222</v>
      </c>
      <c r="B1125" s="51" t="s">
        <v>221</v>
      </c>
      <c r="C1125" s="81"/>
      <c r="D1125" s="49">
        <v>107.79277999999999</v>
      </c>
      <c r="E1125" s="49">
        <v>107.79277999999999</v>
      </c>
      <c r="F1125" s="49">
        <v>0</v>
      </c>
      <c r="G1125" s="81"/>
    </row>
    <row r="1126" spans="1:7" s="1" customFormat="1" ht="15.6" customHeight="1">
      <c r="A1126" s="66" t="s">
        <v>220</v>
      </c>
      <c r="B1126" s="66" t="s">
        <v>220</v>
      </c>
      <c r="C1126" s="80" t="s">
        <v>153</v>
      </c>
      <c r="D1126" s="56">
        <v>540.68421999999998</v>
      </c>
      <c r="E1126" s="56">
        <v>491.68421999999998</v>
      </c>
      <c r="F1126" s="62">
        <v>11.263159999999999</v>
      </c>
      <c r="G1126" s="74" t="s">
        <v>219</v>
      </c>
    </row>
    <row r="1127" spans="1:7" s="1" customFormat="1" ht="39" customHeight="1">
      <c r="A1127" s="64"/>
      <c r="B1127" s="64"/>
      <c r="C1127" s="79"/>
      <c r="D1127" s="50"/>
      <c r="E1127" s="50"/>
      <c r="F1127" s="62">
        <v>39.421059999999997</v>
      </c>
      <c r="G1127" s="74" t="s">
        <v>218</v>
      </c>
    </row>
    <row r="1128" spans="1:7" s="1" customFormat="1">
      <c r="A1128" s="74" t="s">
        <v>217</v>
      </c>
      <c r="B1128" s="74" t="s">
        <v>217</v>
      </c>
      <c r="C1128" s="76"/>
      <c r="D1128" s="78">
        <v>49</v>
      </c>
      <c r="E1128" s="77">
        <v>0</v>
      </c>
      <c r="F1128" s="49">
        <v>0</v>
      </c>
      <c r="G1128" s="74"/>
    </row>
    <row r="1129" spans="1:7" s="1" customFormat="1">
      <c r="A1129" s="51" t="s">
        <v>216</v>
      </c>
      <c r="B1129" s="51" t="s">
        <v>216</v>
      </c>
      <c r="C1129" s="76"/>
      <c r="D1129" s="78">
        <v>85</v>
      </c>
      <c r="E1129" s="77">
        <v>85</v>
      </c>
      <c r="F1129" s="49">
        <v>0</v>
      </c>
      <c r="G1129" s="74"/>
    </row>
    <row r="1130" spans="1:7" s="1" customFormat="1">
      <c r="A1130" s="51" t="s">
        <v>215</v>
      </c>
      <c r="B1130" s="51" t="s">
        <v>215</v>
      </c>
      <c r="C1130" s="76"/>
      <c r="D1130" s="78">
        <v>85</v>
      </c>
      <c r="E1130" s="77">
        <v>85</v>
      </c>
      <c r="F1130" s="49">
        <v>0</v>
      </c>
      <c r="G1130" s="74"/>
    </row>
    <row r="1131" spans="1:7" s="1" customFormat="1">
      <c r="A1131" s="51" t="s">
        <v>214</v>
      </c>
      <c r="B1131" s="51" t="s">
        <v>214</v>
      </c>
      <c r="C1131" s="76"/>
      <c r="D1131" s="78">
        <v>90</v>
      </c>
      <c r="E1131" s="77">
        <v>90</v>
      </c>
      <c r="F1131" s="49">
        <v>0</v>
      </c>
      <c r="G1131" s="74"/>
    </row>
    <row r="1132" spans="1:7" s="1" customFormat="1">
      <c r="A1132" s="51" t="s">
        <v>213</v>
      </c>
      <c r="B1132" s="51" t="s">
        <v>213</v>
      </c>
      <c r="C1132" s="76"/>
      <c r="D1132" s="78">
        <v>90</v>
      </c>
      <c r="E1132" s="77">
        <v>90</v>
      </c>
      <c r="F1132" s="49">
        <v>0</v>
      </c>
      <c r="G1132" s="74"/>
    </row>
    <row r="1133" spans="1:7" s="1" customFormat="1">
      <c r="A1133" s="51" t="s">
        <v>212</v>
      </c>
      <c r="B1133" s="51" t="s">
        <v>212</v>
      </c>
      <c r="C1133" s="76"/>
      <c r="D1133" s="78">
        <v>91</v>
      </c>
      <c r="E1133" s="77">
        <v>91</v>
      </c>
      <c r="F1133" s="49">
        <v>0</v>
      </c>
      <c r="G1133" s="74"/>
    </row>
    <row r="1134" spans="1:7" s="1" customFormat="1">
      <c r="A1134" s="51" t="s">
        <v>211</v>
      </c>
      <c r="B1134" s="51" t="s">
        <v>211</v>
      </c>
      <c r="C1134" s="76"/>
      <c r="D1134" s="75">
        <v>50.684220000000003</v>
      </c>
      <c r="E1134" s="75">
        <v>50.684220000000003</v>
      </c>
      <c r="F1134" s="49">
        <v>0</v>
      </c>
      <c r="G1134" s="74"/>
    </row>
    <row r="1135" spans="1:7" s="1" customFormat="1">
      <c r="A1135" s="47" t="s">
        <v>210</v>
      </c>
      <c r="B1135" s="61"/>
      <c r="C1135" s="61"/>
      <c r="D1135" s="44">
        <f>SUM(D1121:D1126)</f>
        <v>1000</v>
      </c>
      <c r="E1135" s="44">
        <f>SUM(E1121:E1126)</f>
        <v>755</v>
      </c>
      <c r="F1135" s="68">
        <f>SUM(F1121:F1127)</f>
        <v>132.20722000000001</v>
      </c>
      <c r="G1135" s="43"/>
    </row>
    <row r="1136" spans="1:7" s="1" customFormat="1">
      <c r="A1136" s="73" t="s">
        <v>209</v>
      </c>
      <c r="B1136" s="72"/>
      <c r="C1136" s="72"/>
      <c r="D1136" s="72"/>
      <c r="E1136" s="72"/>
      <c r="F1136" s="72"/>
      <c r="G1136" s="71"/>
    </row>
    <row r="1137" spans="1:7" s="1" customFormat="1" ht="47.25">
      <c r="A1137" s="51" t="s">
        <v>208</v>
      </c>
      <c r="B1137" s="51" t="s">
        <v>208</v>
      </c>
      <c r="C1137" s="61"/>
      <c r="D1137" s="62">
        <v>22775.480810000001</v>
      </c>
      <c r="E1137" s="62">
        <v>275.39879999999999</v>
      </c>
      <c r="F1137" s="69">
        <v>0</v>
      </c>
      <c r="G1137" s="43"/>
    </row>
    <row r="1138" spans="1:7" s="1" customFormat="1" ht="46.9" customHeight="1">
      <c r="A1138" s="57" t="s">
        <v>207</v>
      </c>
      <c r="B1138" s="57" t="s">
        <v>207</v>
      </c>
      <c r="C1138" s="43" t="s">
        <v>206</v>
      </c>
      <c r="D1138" s="65">
        <v>18219.867200000001</v>
      </c>
      <c r="E1138" s="65">
        <f>463+3378.7804+177.1+3.5484+706.531</f>
        <v>4728.9598000000005</v>
      </c>
      <c r="F1138" s="62">
        <v>1173.0806</v>
      </c>
      <c r="G1138" s="61" t="s">
        <v>205</v>
      </c>
    </row>
    <row r="1139" spans="1:7" s="1" customFormat="1">
      <c r="A1139" s="52"/>
      <c r="B1139" s="52"/>
      <c r="C1139" s="61" t="s">
        <v>153</v>
      </c>
      <c r="D1139" s="63"/>
      <c r="E1139" s="63"/>
      <c r="F1139" s="69">
        <v>462.77542</v>
      </c>
      <c r="G1139" s="70" t="s">
        <v>204</v>
      </c>
    </row>
    <row r="1140" spans="1:7" s="1" customFormat="1" ht="47.25">
      <c r="A1140" s="54" t="s">
        <v>203</v>
      </c>
      <c r="B1140" s="54" t="s">
        <v>203</v>
      </c>
      <c r="C1140" s="61" t="s">
        <v>153</v>
      </c>
      <c r="D1140" s="62">
        <v>126.69240000000001</v>
      </c>
      <c r="E1140" s="62">
        <v>126.69240000000001</v>
      </c>
      <c r="F1140" s="62">
        <v>126.69240000000001</v>
      </c>
      <c r="G1140" s="61" t="s">
        <v>202</v>
      </c>
    </row>
    <row r="1141" spans="1:7" s="1" customFormat="1" ht="47.25">
      <c r="A1141" s="54" t="s">
        <v>201</v>
      </c>
      <c r="B1141" s="54" t="s">
        <v>201</v>
      </c>
      <c r="C1141" s="61"/>
      <c r="D1141" s="62">
        <v>115.58</v>
      </c>
      <c r="E1141" s="62">
        <v>115.58</v>
      </c>
      <c r="F1141" s="69">
        <v>0</v>
      </c>
      <c r="G1141" s="43"/>
    </row>
    <row r="1142" spans="1:7" s="1" customFormat="1" ht="47.25">
      <c r="A1142" s="54" t="s">
        <v>200</v>
      </c>
      <c r="B1142" s="54" t="s">
        <v>200</v>
      </c>
      <c r="C1142" s="61"/>
      <c r="D1142" s="62">
        <v>1739.4688000000001</v>
      </c>
      <c r="E1142" s="62">
        <v>0</v>
      </c>
      <c r="F1142" s="69">
        <v>0</v>
      </c>
      <c r="G1142" s="43"/>
    </row>
    <row r="1143" spans="1:7" s="1" customFormat="1" ht="63">
      <c r="A1143" s="54" t="s">
        <v>199</v>
      </c>
      <c r="B1143" s="54" t="s">
        <v>199</v>
      </c>
      <c r="C1143" s="61"/>
      <c r="D1143" s="62">
        <v>4365.3194199999998</v>
      </c>
      <c r="E1143" s="62">
        <v>0</v>
      </c>
      <c r="F1143" s="69">
        <v>0</v>
      </c>
      <c r="G1143" s="43"/>
    </row>
    <row r="1144" spans="1:7" s="1" customFormat="1" ht="47.25">
      <c r="A1144" s="54" t="s">
        <v>198</v>
      </c>
      <c r="B1144" s="54" t="s">
        <v>198</v>
      </c>
      <c r="C1144" s="61"/>
      <c r="D1144" s="62">
        <v>48.404400000000003</v>
      </c>
      <c r="E1144" s="62">
        <v>0</v>
      </c>
      <c r="F1144" s="69">
        <v>0</v>
      </c>
      <c r="G1144" s="43"/>
    </row>
    <row r="1145" spans="1:7" s="1" customFormat="1" ht="63">
      <c r="A1145" s="54" t="s">
        <v>197</v>
      </c>
      <c r="B1145" s="54" t="s">
        <v>197</v>
      </c>
      <c r="C1145" s="61"/>
      <c r="D1145" s="62">
        <v>48.615600000000001</v>
      </c>
      <c r="E1145" s="62">
        <v>0</v>
      </c>
      <c r="F1145" s="69">
        <v>0</v>
      </c>
      <c r="G1145" s="43"/>
    </row>
    <row r="1146" spans="1:7" s="1" customFormat="1" ht="70.900000000000006" customHeight="1">
      <c r="A1146" s="51" t="s">
        <v>196</v>
      </c>
      <c r="B1146" s="51" t="s">
        <v>196</v>
      </c>
      <c r="C1146" s="61"/>
      <c r="D1146" s="62">
        <v>291.88936999999999</v>
      </c>
      <c r="E1146" s="62">
        <v>0</v>
      </c>
      <c r="F1146" s="69">
        <v>0</v>
      </c>
      <c r="G1146" s="43"/>
    </row>
    <row r="1147" spans="1:7" s="1" customFormat="1" ht="73.150000000000006" customHeight="1">
      <c r="A1147" s="51" t="s">
        <v>195</v>
      </c>
      <c r="B1147" s="51" t="s">
        <v>195</v>
      </c>
      <c r="C1147" s="61"/>
      <c r="D1147" s="62">
        <v>827.89200000000005</v>
      </c>
      <c r="E1147" s="62">
        <v>0</v>
      </c>
      <c r="F1147" s="69">
        <v>0</v>
      </c>
      <c r="G1147" s="43"/>
    </row>
    <row r="1148" spans="1:7" s="1" customFormat="1">
      <c r="A1148" s="47" t="s">
        <v>194</v>
      </c>
      <c r="B1148" s="61"/>
      <c r="C1148" s="61"/>
      <c r="D1148" s="44">
        <f>SUM(D1137:D1147)</f>
        <v>48559.21</v>
      </c>
      <c r="E1148" s="44">
        <f>SUM(E1137:E1147)</f>
        <v>5246.6310000000003</v>
      </c>
      <c r="F1148" s="68">
        <f>SUM(F1137:F1147)</f>
        <v>1762.5484199999999</v>
      </c>
      <c r="G1148" s="43"/>
    </row>
    <row r="1149" spans="1:7" s="1" customFormat="1" ht="15.6" customHeight="1">
      <c r="A1149" s="60" t="s">
        <v>193</v>
      </c>
      <c r="B1149" s="59"/>
      <c r="C1149" s="59"/>
      <c r="D1149" s="59"/>
      <c r="E1149" s="59"/>
      <c r="F1149" s="59"/>
      <c r="G1149" s="58"/>
    </row>
    <row r="1150" spans="1:7" s="1" customFormat="1" ht="78.75">
      <c r="A1150" s="48" t="s">
        <v>192</v>
      </c>
      <c r="B1150" s="48" t="s">
        <v>192</v>
      </c>
      <c r="C1150" s="48"/>
      <c r="D1150" s="49">
        <v>71.966999999999999</v>
      </c>
      <c r="E1150" s="49">
        <v>0</v>
      </c>
      <c r="F1150" s="49">
        <v>0</v>
      </c>
      <c r="G1150" s="48"/>
    </row>
    <row r="1151" spans="1:7" s="1" customFormat="1" ht="78.75">
      <c r="A1151" s="51" t="s">
        <v>191</v>
      </c>
      <c r="B1151" s="51" t="s">
        <v>191</v>
      </c>
      <c r="C1151" s="48"/>
      <c r="D1151" s="49">
        <v>363.10700000000003</v>
      </c>
      <c r="E1151" s="49">
        <v>35.140999999999998</v>
      </c>
      <c r="F1151" s="49">
        <v>0</v>
      </c>
      <c r="G1151" s="48"/>
    </row>
    <row r="1152" spans="1:7" s="1" customFormat="1" ht="63">
      <c r="A1152" s="61" t="s">
        <v>190</v>
      </c>
      <c r="B1152" s="61" t="s">
        <v>190</v>
      </c>
      <c r="C1152" s="48" t="s">
        <v>158</v>
      </c>
      <c r="D1152" s="49">
        <v>297.75799999999998</v>
      </c>
      <c r="E1152" s="49">
        <v>297.75799999999998</v>
      </c>
      <c r="F1152" s="49">
        <v>190.8022</v>
      </c>
      <c r="G1152" s="48" t="s">
        <v>187</v>
      </c>
    </row>
    <row r="1153" spans="1:7" s="1" customFormat="1" ht="63">
      <c r="A1153" s="61" t="s">
        <v>189</v>
      </c>
      <c r="B1153" s="61" t="s">
        <v>189</v>
      </c>
      <c r="C1153" s="48" t="s">
        <v>158</v>
      </c>
      <c r="D1153" s="49">
        <v>308.57499999999999</v>
      </c>
      <c r="E1153" s="49">
        <v>188.57499999999999</v>
      </c>
      <c r="F1153" s="49">
        <v>177.00299999999999</v>
      </c>
      <c r="G1153" s="48" t="s">
        <v>187</v>
      </c>
    </row>
    <row r="1154" spans="1:7" s="1" customFormat="1" ht="63">
      <c r="A1154" s="61" t="s">
        <v>188</v>
      </c>
      <c r="B1154" s="61" t="s">
        <v>188</v>
      </c>
      <c r="C1154" s="48" t="s">
        <v>158</v>
      </c>
      <c r="D1154" s="49">
        <v>67.316000000000003</v>
      </c>
      <c r="E1154" s="49">
        <v>65.263999999999996</v>
      </c>
      <c r="F1154" s="49">
        <v>25.634799999999998</v>
      </c>
      <c r="G1154" s="48" t="s">
        <v>187</v>
      </c>
    </row>
    <row r="1155" spans="1:7" s="1" customFormat="1" ht="63">
      <c r="A1155" s="61" t="s">
        <v>186</v>
      </c>
      <c r="B1155" s="61" t="s">
        <v>186</v>
      </c>
      <c r="C1155" s="48"/>
      <c r="D1155" s="49">
        <v>2.052</v>
      </c>
      <c r="E1155" s="49">
        <v>0</v>
      </c>
      <c r="F1155" s="49">
        <v>0</v>
      </c>
      <c r="G1155" s="48"/>
    </row>
    <row r="1156" spans="1:7" s="1" customFormat="1" ht="63">
      <c r="A1156" s="51" t="s">
        <v>185</v>
      </c>
      <c r="B1156" s="51" t="s">
        <v>185</v>
      </c>
      <c r="C1156" s="48"/>
      <c r="D1156" s="49">
        <v>2.5649999999999999</v>
      </c>
      <c r="E1156" s="49">
        <v>0</v>
      </c>
      <c r="F1156" s="49">
        <v>0</v>
      </c>
      <c r="G1156" s="48"/>
    </row>
    <row r="1157" spans="1:7" s="1" customFormat="1" ht="15.6" customHeight="1">
      <c r="A1157" s="66" t="s">
        <v>184</v>
      </c>
      <c r="B1157" s="66" t="s">
        <v>184</v>
      </c>
      <c r="C1157" s="48" t="s">
        <v>153</v>
      </c>
      <c r="D1157" s="56">
        <v>546.36699999999996</v>
      </c>
      <c r="E1157" s="49">
        <v>546.36699999999996</v>
      </c>
      <c r="F1157" s="49">
        <v>60.07</v>
      </c>
      <c r="G1157" s="48" t="s">
        <v>183</v>
      </c>
    </row>
    <row r="1158" spans="1:7" s="1" customFormat="1">
      <c r="A1158" s="64"/>
      <c r="B1158" s="64"/>
      <c r="C1158" s="48" t="s">
        <v>182</v>
      </c>
      <c r="D1158" s="50"/>
      <c r="E1158" s="49">
        <v>0</v>
      </c>
      <c r="F1158" s="49">
        <v>3.3537599999999999</v>
      </c>
      <c r="G1158" s="51" t="s">
        <v>102</v>
      </c>
    </row>
    <row r="1159" spans="1:7" s="1" customFormat="1" ht="78.75">
      <c r="A1159" s="51" t="s">
        <v>181</v>
      </c>
      <c r="B1159" s="51" t="s">
        <v>181</v>
      </c>
      <c r="C1159" s="48"/>
      <c r="D1159" s="49">
        <v>142.33600000000001</v>
      </c>
      <c r="E1159" s="49">
        <v>0</v>
      </c>
      <c r="F1159" s="49">
        <v>0</v>
      </c>
      <c r="G1159" s="48"/>
    </row>
    <row r="1160" spans="1:7" s="1" customFormat="1" ht="63">
      <c r="A1160" s="51" t="s">
        <v>180</v>
      </c>
      <c r="B1160" s="51" t="s">
        <v>180</v>
      </c>
      <c r="C1160" s="48"/>
      <c r="D1160" s="49">
        <v>49.277999999999999</v>
      </c>
      <c r="E1160" s="49">
        <v>12.647</v>
      </c>
      <c r="F1160" s="49">
        <v>0</v>
      </c>
      <c r="G1160" s="48"/>
    </row>
    <row r="1161" spans="1:7" s="1" customFormat="1" ht="63">
      <c r="A1161" s="48" t="s">
        <v>179</v>
      </c>
      <c r="B1161" s="48" t="s">
        <v>179</v>
      </c>
      <c r="C1161" s="48"/>
      <c r="D1161" s="49">
        <v>900</v>
      </c>
      <c r="E1161" s="49">
        <v>70</v>
      </c>
      <c r="F1161" s="49">
        <v>0</v>
      </c>
      <c r="G1161" s="48"/>
    </row>
    <row r="1162" spans="1:7" s="1" customFormat="1" ht="78.75">
      <c r="A1162" s="48" t="s">
        <v>178</v>
      </c>
      <c r="B1162" s="48" t="s">
        <v>178</v>
      </c>
      <c r="C1162" s="48"/>
      <c r="D1162" s="49">
        <v>10000</v>
      </c>
      <c r="E1162" s="49">
        <v>0</v>
      </c>
      <c r="F1162" s="49">
        <v>0</v>
      </c>
      <c r="G1162" s="48"/>
    </row>
    <row r="1163" spans="1:7" s="1" customFormat="1" ht="63">
      <c r="A1163" s="51" t="s">
        <v>177</v>
      </c>
      <c r="B1163" s="51" t="s">
        <v>177</v>
      </c>
      <c r="C1163" s="48"/>
      <c r="D1163" s="49">
        <v>1057.694</v>
      </c>
      <c r="E1163" s="49">
        <v>218.29400000000001</v>
      </c>
      <c r="F1163" s="49">
        <v>0</v>
      </c>
      <c r="G1163" s="48"/>
    </row>
    <row r="1164" spans="1:7" s="1" customFormat="1" ht="63">
      <c r="A1164" s="51" t="s">
        <v>176</v>
      </c>
      <c r="B1164" s="51" t="s">
        <v>176</v>
      </c>
      <c r="C1164" s="48"/>
      <c r="D1164" s="49">
        <v>900.72199999999998</v>
      </c>
      <c r="E1164" s="49">
        <v>900.72199999999998</v>
      </c>
      <c r="F1164" s="49">
        <v>0</v>
      </c>
      <c r="G1164" s="48"/>
    </row>
    <row r="1165" spans="1:7" s="1" customFormat="1" ht="63">
      <c r="A1165" s="67" t="s">
        <v>175</v>
      </c>
      <c r="B1165" s="67" t="s">
        <v>175</v>
      </c>
      <c r="C1165" s="61" t="s">
        <v>174</v>
      </c>
      <c r="D1165" s="49">
        <v>12000</v>
      </c>
      <c r="E1165" s="49">
        <v>5890</v>
      </c>
      <c r="F1165" s="49">
        <v>761.13340000000005</v>
      </c>
      <c r="G1165" s="43" t="s">
        <v>173</v>
      </c>
    </row>
    <row r="1166" spans="1:7" s="1" customFormat="1" ht="94.5">
      <c r="A1166" s="67" t="s">
        <v>172</v>
      </c>
      <c r="B1166" s="67" t="s">
        <v>172</v>
      </c>
      <c r="C1166" s="61" t="s">
        <v>158</v>
      </c>
      <c r="D1166" s="49">
        <v>20000</v>
      </c>
      <c r="E1166" s="49">
        <v>16050.575999999999</v>
      </c>
      <c r="F1166" s="49">
        <v>14681.26311</v>
      </c>
      <c r="G1166" s="43" t="s">
        <v>171</v>
      </c>
    </row>
    <row r="1167" spans="1:7" s="1" customFormat="1" ht="63">
      <c r="A1167" s="67" t="s">
        <v>170</v>
      </c>
      <c r="B1167" s="67" t="s">
        <v>170</v>
      </c>
      <c r="C1167" s="61" t="s">
        <v>158</v>
      </c>
      <c r="D1167" s="49">
        <v>22659.652999999998</v>
      </c>
      <c r="E1167" s="49">
        <v>6117</v>
      </c>
      <c r="F1167" s="49">
        <v>3967.2798299999999</v>
      </c>
      <c r="G1167" s="43" t="s">
        <v>169</v>
      </c>
    </row>
    <row r="1168" spans="1:7" s="1" customFormat="1" ht="110.25">
      <c r="A1168" s="67" t="s">
        <v>168</v>
      </c>
      <c r="B1168" s="67" t="s">
        <v>168</v>
      </c>
      <c r="C1168" s="61"/>
      <c r="D1168" s="49">
        <v>200</v>
      </c>
      <c r="E1168" s="49">
        <v>0</v>
      </c>
      <c r="F1168" s="49">
        <v>0</v>
      </c>
      <c r="G1168" s="43"/>
    </row>
    <row r="1169" spans="1:7" s="1" customFormat="1" ht="110.25">
      <c r="A1169" s="67" t="s">
        <v>167</v>
      </c>
      <c r="B1169" s="67" t="s">
        <v>167</v>
      </c>
      <c r="C1169" s="61"/>
      <c r="D1169" s="49">
        <v>500</v>
      </c>
      <c r="E1169" s="49">
        <v>500</v>
      </c>
      <c r="F1169" s="49">
        <v>0</v>
      </c>
      <c r="G1169" s="43"/>
    </row>
    <row r="1170" spans="1:7" s="1" customFormat="1" ht="78.75">
      <c r="A1170" s="67" t="s">
        <v>166</v>
      </c>
      <c r="B1170" s="67" t="s">
        <v>166</v>
      </c>
      <c r="C1170" s="61"/>
      <c r="D1170" s="49">
        <v>275</v>
      </c>
      <c r="E1170" s="49">
        <v>275</v>
      </c>
      <c r="F1170" s="49">
        <v>0</v>
      </c>
      <c r="G1170" s="43"/>
    </row>
    <row r="1171" spans="1:7" s="1" customFormat="1" ht="78.75">
      <c r="A1171" s="61" t="s">
        <v>165</v>
      </c>
      <c r="B1171" s="61" t="s">
        <v>165</v>
      </c>
      <c r="C1171" s="61" t="s">
        <v>158</v>
      </c>
      <c r="D1171" s="49">
        <v>5920</v>
      </c>
      <c r="E1171" s="49">
        <v>5920</v>
      </c>
      <c r="F1171" s="49">
        <v>5824.14822</v>
      </c>
      <c r="G1171" s="43" t="s">
        <v>164</v>
      </c>
    </row>
    <row r="1172" spans="1:7" s="1" customFormat="1">
      <c r="A1172" s="47" t="s">
        <v>163</v>
      </c>
      <c r="B1172" s="61"/>
      <c r="C1172" s="61"/>
      <c r="D1172" s="44">
        <f>SUM(D1150:D1171)</f>
        <v>76264.39</v>
      </c>
      <c r="E1172" s="44">
        <f>SUM(E1150:E1171)</f>
        <v>37087.343999999997</v>
      </c>
      <c r="F1172" s="44">
        <f>SUM(F1150:F1171)</f>
        <v>25690.688320000001</v>
      </c>
      <c r="G1172" s="43"/>
    </row>
    <row r="1173" spans="1:7" s="1" customFormat="1" ht="15.6" customHeight="1">
      <c r="A1173" s="60" t="s">
        <v>162</v>
      </c>
      <c r="B1173" s="59"/>
      <c r="C1173" s="59"/>
      <c r="D1173" s="59"/>
      <c r="E1173" s="59"/>
      <c r="F1173" s="59"/>
      <c r="G1173" s="58"/>
    </row>
    <row r="1174" spans="1:7" s="1" customFormat="1" ht="81.75" customHeight="1">
      <c r="A1174" s="66" t="s">
        <v>161</v>
      </c>
      <c r="B1174" s="66" t="s">
        <v>161</v>
      </c>
      <c r="C1174" s="48" t="s">
        <v>160</v>
      </c>
      <c r="D1174" s="65">
        <v>23279.069</v>
      </c>
      <c r="E1174" s="65">
        <v>7575.473</v>
      </c>
      <c r="F1174" s="62">
        <v>492.42500000000001</v>
      </c>
      <c r="G1174" s="51" t="s">
        <v>159</v>
      </c>
    </row>
    <row r="1175" spans="1:7" s="1" customFormat="1">
      <c r="A1175" s="64"/>
      <c r="B1175" s="64"/>
      <c r="C1175" s="61" t="s">
        <v>158</v>
      </c>
      <c r="D1175" s="63"/>
      <c r="E1175" s="63"/>
      <c r="F1175" s="62">
        <v>6768.72</v>
      </c>
      <c r="G1175" s="43" t="s">
        <v>157</v>
      </c>
    </row>
    <row r="1176" spans="1:7" s="1" customFormat="1">
      <c r="A1176" s="47" t="s">
        <v>156</v>
      </c>
      <c r="B1176" s="61"/>
      <c r="C1176" s="61"/>
      <c r="D1176" s="44">
        <f>SUM(D1174)</f>
        <v>23279.069</v>
      </c>
      <c r="E1176" s="44">
        <f>SUM(E1174)</f>
        <v>7575.473</v>
      </c>
      <c r="F1176" s="44">
        <f>SUM(F1174:F1175)</f>
        <v>7261.1450000000004</v>
      </c>
      <c r="G1176" s="43"/>
    </row>
    <row r="1177" spans="1:7" s="1" customFormat="1" ht="15.6" customHeight="1">
      <c r="A1177" s="60" t="s">
        <v>155</v>
      </c>
      <c r="B1177" s="59"/>
      <c r="C1177" s="59"/>
      <c r="D1177" s="59"/>
      <c r="E1177" s="59"/>
      <c r="F1177" s="59"/>
      <c r="G1177" s="58"/>
    </row>
    <row r="1178" spans="1:7" s="1" customFormat="1" ht="15.6" customHeight="1">
      <c r="A1178" s="57" t="s">
        <v>154</v>
      </c>
      <c r="B1178" s="57" t="s">
        <v>154</v>
      </c>
      <c r="C1178" s="48" t="s">
        <v>153</v>
      </c>
      <c r="D1178" s="56">
        <v>728.87800000000004</v>
      </c>
      <c r="E1178" s="56">
        <v>728.87800000000004</v>
      </c>
      <c r="F1178" s="49">
        <v>28.456</v>
      </c>
      <c r="G1178" s="48" t="s">
        <v>152</v>
      </c>
    </row>
    <row r="1179" spans="1:7" s="1" customFormat="1">
      <c r="A1179" s="55"/>
      <c r="B1179" s="55"/>
      <c r="C1179" s="54" t="s">
        <v>151</v>
      </c>
      <c r="D1179" s="53"/>
      <c r="E1179" s="53"/>
      <c r="F1179" s="49">
        <v>599.64300000000003</v>
      </c>
      <c r="G1179" s="48" t="s">
        <v>149</v>
      </c>
    </row>
    <row r="1180" spans="1:7" s="1" customFormat="1">
      <c r="A1180" s="52"/>
      <c r="B1180" s="52"/>
      <c r="C1180" s="51" t="s">
        <v>150</v>
      </c>
      <c r="D1180" s="50"/>
      <c r="E1180" s="50"/>
      <c r="F1180" s="49">
        <v>96.728999999999999</v>
      </c>
      <c r="G1180" s="48" t="s">
        <v>149</v>
      </c>
    </row>
    <row r="1181" spans="1:7" s="1" customFormat="1">
      <c r="A1181" s="47" t="s">
        <v>148</v>
      </c>
      <c r="B1181" s="46"/>
      <c r="C1181" s="45"/>
      <c r="D1181" s="44">
        <f>SUM(D1178:D1178)</f>
        <v>728.87800000000004</v>
      </c>
      <c r="E1181" s="44">
        <f>SUM(E1178:E1178)</f>
        <v>728.87800000000004</v>
      </c>
      <c r="F1181" s="44">
        <f>SUM(F1178:F1180)</f>
        <v>724.82800000000009</v>
      </c>
      <c r="G1181" s="43"/>
    </row>
    <row r="1182" spans="1:7" s="1" customFormat="1" ht="15.6" customHeight="1">
      <c r="A1182" s="42" t="s">
        <v>147</v>
      </c>
      <c r="B1182" s="41"/>
      <c r="C1182" s="41"/>
      <c r="D1182" s="41"/>
      <c r="E1182" s="41"/>
      <c r="F1182" s="41"/>
      <c r="G1182" s="40"/>
    </row>
    <row r="1183" spans="1:7" s="1" customFormat="1" ht="31.5">
      <c r="A1183" s="25" t="s">
        <v>146</v>
      </c>
      <c r="B1183" s="39" t="s">
        <v>145</v>
      </c>
      <c r="C1183" s="34" t="s">
        <v>21</v>
      </c>
      <c r="D1183" s="37">
        <v>10000</v>
      </c>
      <c r="E1183" s="37">
        <v>9685.25</v>
      </c>
      <c r="F1183" s="36">
        <v>8671.8629999999994</v>
      </c>
      <c r="G1183" s="25" t="s">
        <v>144</v>
      </c>
    </row>
    <row r="1184" spans="1:7" s="1" customFormat="1" ht="31.5">
      <c r="A1184" s="25" t="s">
        <v>143</v>
      </c>
      <c r="B1184" s="39" t="s">
        <v>142</v>
      </c>
      <c r="C1184" s="34" t="s">
        <v>21</v>
      </c>
      <c r="D1184" s="37">
        <v>5000</v>
      </c>
      <c r="E1184" s="37">
        <v>2721.3</v>
      </c>
      <c r="F1184" s="36">
        <v>2273.8530000000001</v>
      </c>
      <c r="G1184" s="25" t="s">
        <v>141</v>
      </c>
    </row>
    <row r="1185" spans="1:7" s="1" customFormat="1" ht="31.5">
      <c r="A1185" s="25" t="s">
        <v>140</v>
      </c>
      <c r="B1185" s="38" t="s">
        <v>139</v>
      </c>
      <c r="C1185" s="34" t="s">
        <v>21</v>
      </c>
      <c r="D1185" s="37">
        <v>1000</v>
      </c>
      <c r="E1185" s="37">
        <v>648</v>
      </c>
      <c r="F1185" s="36">
        <v>647.73599999999999</v>
      </c>
      <c r="G1185" s="25" t="s">
        <v>138</v>
      </c>
    </row>
    <row r="1186" spans="1:7" s="1" customFormat="1" ht="31.5">
      <c r="A1186" s="25" t="s">
        <v>137</v>
      </c>
      <c r="B1186" s="38" t="s">
        <v>136</v>
      </c>
      <c r="C1186" s="34" t="s">
        <v>21</v>
      </c>
      <c r="D1186" s="37">
        <v>3502.06</v>
      </c>
      <c r="E1186" s="37">
        <v>1884.1510000000001</v>
      </c>
      <c r="F1186" s="36">
        <v>1686.146</v>
      </c>
      <c r="G1186" s="25" t="s">
        <v>38</v>
      </c>
    </row>
    <row r="1187" spans="1:7" s="1" customFormat="1" ht="31.5">
      <c r="A1187" s="25" t="s">
        <v>128</v>
      </c>
      <c r="B1187" s="38" t="s">
        <v>135</v>
      </c>
      <c r="C1187" s="34" t="s">
        <v>21</v>
      </c>
      <c r="D1187" s="37">
        <v>1840.3130000000001</v>
      </c>
      <c r="E1187" s="37">
        <v>1840.3130000000001</v>
      </c>
      <c r="F1187" s="36">
        <v>898</v>
      </c>
      <c r="G1187" s="25" t="s">
        <v>134</v>
      </c>
    </row>
    <row r="1188" spans="1:7" s="1" customFormat="1" ht="31.5">
      <c r="A1188" s="25" t="s">
        <v>133</v>
      </c>
      <c r="B1188" s="38" t="s">
        <v>132</v>
      </c>
      <c r="C1188" s="34" t="s">
        <v>21</v>
      </c>
      <c r="D1188" s="37">
        <v>4561.0739999999996</v>
      </c>
      <c r="E1188" s="37">
        <v>2129.8710000000001</v>
      </c>
      <c r="F1188" s="36">
        <v>2129.607</v>
      </c>
      <c r="G1188" s="25" t="s">
        <v>38</v>
      </c>
    </row>
    <row r="1189" spans="1:7" s="1" customFormat="1" ht="31.5">
      <c r="A1189" s="25" t="s">
        <v>131</v>
      </c>
      <c r="B1189" s="33" t="s">
        <v>130</v>
      </c>
      <c r="C1189" s="34" t="s">
        <v>21</v>
      </c>
      <c r="D1189" s="37">
        <v>5834.0439999999999</v>
      </c>
      <c r="E1189" s="37">
        <v>5834.0439999999999</v>
      </c>
      <c r="F1189" s="36">
        <v>5834.0439999999999</v>
      </c>
      <c r="G1189" s="25" t="s">
        <v>129</v>
      </c>
    </row>
    <row r="1190" spans="1:7" s="1" customFormat="1" ht="31.5">
      <c r="A1190" s="25" t="s">
        <v>128</v>
      </c>
      <c r="B1190" s="33" t="s">
        <v>127</v>
      </c>
      <c r="C1190" s="34" t="s">
        <v>21</v>
      </c>
      <c r="D1190" s="37">
        <v>1749.317</v>
      </c>
      <c r="E1190" s="37">
        <v>1749.317</v>
      </c>
      <c r="F1190" s="36">
        <v>1224.32</v>
      </c>
      <c r="G1190" s="25" t="s">
        <v>126</v>
      </c>
    </row>
    <row r="1191" spans="1:7" s="1" customFormat="1" ht="31.5">
      <c r="A1191" s="25" t="s">
        <v>125</v>
      </c>
      <c r="B1191" s="26" t="s">
        <v>124</v>
      </c>
      <c r="C1191" s="34" t="s">
        <v>21</v>
      </c>
      <c r="D1191" s="37">
        <v>5980.1850000000004</v>
      </c>
      <c r="E1191" s="37">
        <v>5980.1850000000004</v>
      </c>
      <c r="F1191" s="36">
        <v>5978.8549999999996</v>
      </c>
      <c r="G1191" s="25" t="s">
        <v>108</v>
      </c>
    </row>
    <row r="1192" spans="1:7" s="1" customFormat="1" ht="31.5">
      <c r="A1192" s="25" t="s">
        <v>123</v>
      </c>
      <c r="B1192" s="26" t="s">
        <v>122</v>
      </c>
      <c r="C1192" s="34" t="s">
        <v>21</v>
      </c>
      <c r="D1192" s="37">
        <v>1987.9649999999999</v>
      </c>
      <c r="E1192" s="37">
        <v>1927.4</v>
      </c>
      <c r="F1192" s="36">
        <v>1746.6590000000001</v>
      </c>
      <c r="G1192" s="25" t="s">
        <v>121</v>
      </c>
    </row>
    <row r="1193" spans="1:7" s="1" customFormat="1" ht="47.25">
      <c r="A1193" s="25" t="s">
        <v>120</v>
      </c>
      <c r="B1193" s="26" t="s">
        <v>119</v>
      </c>
      <c r="C1193" s="34" t="s">
        <v>21</v>
      </c>
      <c r="D1193" s="37">
        <v>139</v>
      </c>
      <c r="E1193" s="37">
        <v>139</v>
      </c>
      <c r="F1193" s="36">
        <v>17.100000000000001</v>
      </c>
      <c r="G1193" s="25" t="s">
        <v>116</v>
      </c>
    </row>
    <row r="1194" spans="1:7" s="1" customFormat="1" ht="63">
      <c r="A1194" s="25" t="s">
        <v>118</v>
      </c>
      <c r="B1194" s="26" t="s">
        <v>117</v>
      </c>
      <c r="C1194" s="34" t="s">
        <v>21</v>
      </c>
      <c r="D1194" s="37">
        <v>1100</v>
      </c>
      <c r="E1194" s="37">
        <v>64.75</v>
      </c>
      <c r="F1194" s="36">
        <v>49.863</v>
      </c>
      <c r="G1194" s="25" t="s">
        <v>116</v>
      </c>
    </row>
    <row r="1195" spans="1:7" s="1" customFormat="1" ht="47.25">
      <c r="A1195" s="25" t="s">
        <v>115</v>
      </c>
      <c r="B1195" s="26" t="s">
        <v>114</v>
      </c>
      <c r="C1195" s="34" t="s">
        <v>21</v>
      </c>
      <c r="D1195" s="37">
        <v>70</v>
      </c>
      <c r="E1195" s="37">
        <v>59.7</v>
      </c>
      <c r="F1195" s="36">
        <v>49.698999999999998</v>
      </c>
      <c r="G1195" s="25" t="s">
        <v>111</v>
      </c>
    </row>
    <row r="1196" spans="1:7" s="1" customFormat="1" ht="63">
      <c r="A1196" s="25" t="s">
        <v>113</v>
      </c>
      <c r="B1196" s="26" t="s">
        <v>112</v>
      </c>
      <c r="C1196" s="34" t="s">
        <v>21</v>
      </c>
      <c r="D1196" s="37">
        <v>70</v>
      </c>
      <c r="E1196" s="37">
        <v>59.92</v>
      </c>
      <c r="F1196" s="36">
        <v>49.917000000000002</v>
      </c>
      <c r="G1196" s="25" t="s">
        <v>111</v>
      </c>
    </row>
    <row r="1197" spans="1:7" s="1" customFormat="1" ht="31.5">
      <c r="A1197" s="25" t="s">
        <v>110</v>
      </c>
      <c r="B1197" s="26" t="s">
        <v>109</v>
      </c>
      <c r="C1197" s="34" t="s">
        <v>21</v>
      </c>
      <c r="D1197" s="37">
        <v>2445.0839999999998</v>
      </c>
      <c r="E1197" s="37">
        <v>1000</v>
      </c>
      <c r="F1197" s="36">
        <v>1004.957</v>
      </c>
      <c r="G1197" s="25" t="s">
        <v>108</v>
      </c>
    </row>
    <row r="1198" spans="1:7" s="1" customFormat="1" ht="31.5">
      <c r="A1198" s="25" t="s">
        <v>107</v>
      </c>
      <c r="B1198" s="26" t="s">
        <v>106</v>
      </c>
      <c r="C1198" s="32" t="s">
        <v>44</v>
      </c>
      <c r="D1198" s="37">
        <v>1850.5519999999999</v>
      </c>
      <c r="E1198" s="37">
        <v>1529.0350000000001</v>
      </c>
      <c r="F1198" s="36">
        <v>17.37</v>
      </c>
      <c r="G1198" s="25" t="s">
        <v>105</v>
      </c>
    </row>
    <row r="1199" spans="1:7" s="1" customFormat="1" ht="31.5">
      <c r="A1199" s="34" t="s">
        <v>104</v>
      </c>
      <c r="B1199" s="26" t="s">
        <v>103</v>
      </c>
      <c r="C1199" s="32" t="s">
        <v>44</v>
      </c>
      <c r="D1199" s="24">
        <v>1518.2840000000001</v>
      </c>
      <c r="E1199" s="24">
        <v>50.283999999999999</v>
      </c>
      <c r="F1199" s="35">
        <v>11.58</v>
      </c>
      <c r="G1199" s="34" t="s">
        <v>102</v>
      </c>
    </row>
    <row r="1200" spans="1:7" s="1" customFormat="1" ht="31.5">
      <c r="A1200" s="22" t="s">
        <v>101</v>
      </c>
      <c r="B1200" s="26" t="s">
        <v>100</v>
      </c>
      <c r="C1200" s="32" t="s">
        <v>44</v>
      </c>
      <c r="D1200" s="24">
        <v>2000</v>
      </c>
      <c r="E1200" s="24">
        <v>0</v>
      </c>
      <c r="F1200" s="23">
        <v>0</v>
      </c>
      <c r="G1200" s="25"/>
    </row>
    <row r="1201" spans="1:7" s="1" customFormat="1" ht="31.5">
      <c r="A1201" s="22" t="s">
        <v>99</v>
      </c>
      <c r="B1201" s="33" t="s">
        <v>98</v>
      </c>
      <c r="C1201" s="32" t="s">
        <v>44</v>
      </c>
      <c r="D1201" s="24">
        <v>568.83299999999997</v>
      </c>
      <c r="E1201" s="24">
        <v>0.45</v>
      </c>
      <c r="F1201" s="23">
        <v>0</v>
      </c>
      <c r="G1201" s="22"/>
    </row>
    <row r="1202" spans="1:7" s="1" customFormat="1" ht="31.5">
      <c r="A1202" s="22" t="s">
        <v>97</v>
      </c>
      <c r="B1202" s="33" t="s">
        <v>96</v>
      </c>
      <c r="C1202" s="25" t="s">
        <v>53</v>
      </c>
      <c r="D1202" s="24">
        <v>4850</v>
      </c>
      <c r="E1202" s="24">
        <v>499.72</v>
      </c>
      <c r="F1202" s="23">
        <v>62.779000000000003</v>
      </c>
      <c r="G1202" s="22" t="s">
        <v>95</v>
      </c>
    </row>
    <row r="1203" spans="1:7" s="1" customFormat="1" ht="31.5">
      <c r="A1203" s="22" t="s">
        <v>94</v>
      </c>
      <c r="B1203" s="33" t="s">
        <v>93</v>
      </c>
      <c r="C1203" s="25" t="s">
        <v>53</v>
      </c>
      <c r="D1203" s="24">
        <v>1516.3620000000001</v>
      </c>
      <c r="E1203" s="24">
        <v>1516.3620000000001</v>
      </c>
      <c r="F1203" s="23">
        <v>408.79599999999999</v>
      </c>
      <c r="G1203" s="22" t="s">
        <v>92</v>
      </c>
    </row>
    <row r="1204" spans="1:7" s="1" customFormat="1" ht="31.5">
      <c r="A1204" s="22" t="s">
        <v>91</v>
      </c>
      <c r="B1204" s="33" t="s">
        <v>90</v>
      </c>
      <c r="C1204" s="25" t="s">
        <v>53</v>
      </c>
      <c r="D1204" s="24">
        <v>1644.076</v>
      </c>
      <c r="E1204" s="24">
        <v>1644.076</v>
      </c>
      <c r="F1204" s="23">
        <v>474.42700000000002</v>
      </c>
      <c r="G1204" s="25" t="s">
        <v>38</v>
      </c>
    </row>
    <row r="1205" spans="1:7" s="1" customFormat="1" ht="31.5">
      <c r="A1205" s="22" t="s">
        <v>89</v>
      </c>
      <c r="B1205" s="33" t="s">
        <v>88</v>
      </c>
      <c r="C1205" s="25" t="s">
        <v>53</v>
      </c>
      <c r="D1205" s="24">
        <v>10</v>
      </c>
      <c r="E1205" s="24">
        <v>0</v>
      </c>
      <c r="F1205" s="23">
        <v>0</v>
      </c>
      <c r="G1205" s="22"/>
    </row>
    <row r="1206" spans="1:7" s="1" customFormat="1" ht="31.5">
      <c r="A1206" s="22" t="s">
        <v>87</v>
      </c>
      <c r="B1206" s="33" t="s">
        <v>86</v>
      </c>
      <c r="C1206" s="25" t="s">
        <v>53</v>
      </c>
      <c r="D1206" s="24">
        <v>2636.4810000000002</v>
      </c>
      <c r="E1206" s="24">
        <v>0</v>
      </c>
      <c r="F1206" s="23">
        <v>0</v>
      </c>
      <c r="G1206" s="22"/>
    </row>
    <row r="1207" spans="1:7" s="1" customFormat="1" ht="63">
      <c r="A1207" s="22" t="s">
        <v>85</v>
      </c>
      <c r="B1207" s="33" t="s">
        <v>84</v>
      </c>
      <c r="C1207" s="32" t="s">
        <v>44</v>
      </c>
      <c r="D1207" s="24">
        <v>8994.348</v>
      </c>
      <c r="E1207" s="24">
        <v>8994.348</v>
      </c>
      <c r="F1207" s="23">
        <v>7597.7510000000002</v>
      </c>
      <c r="G1207" s="22" t="s">
        <v>83</v>
      </c>
    </row>
    <row r="1208" spans="1:7" s="1" customFormat="1" ht="31.5">
      <c r="A1208" s="22" t="s">
        <v>82</v>
      </c>
      <c r="B1208" s="33" t="s">
        <v>81</v>
      </c>
      <c r="C1208" s="22" t="s">
        <v>21</v>
      </c>
      <c r="D1208" s="24">
        <v>2924</v>
      </c>
      <c r="E1208" s="24">
        <v>2913.84</v>
      </c>
      <c r="F1208" s="23">
        <v>2273.1680000000001</v>
      </c>
      <c r="G1208" s="22" t="s">
        <v>80</v>
      </c>
    </row>
    <row r="1209" spans="1:7" s="1" customFormat="1" ht="47.25">
      <c r="A1209" s="22" t="s">
        <v>79</v>
      </c>
      <c r="B1209" s="33" t="s">
        <v>78</v>
      </c>
      <c r="C1209" s="22" t="s">
        <v>21</v>
      </c>
      <c r="D1209" s="24">
        <v>6663.72</v>
      </c>
      <c r="E1209" s="24">
        <v>6023.433</v>
      </c>
      <c r="F1209" s="23">
        <v>3859.7130000000002</v>
      </c>
      <c r="G1209" s="22" t="s">
        <v>77</v>
      </c>
    </row>
    <row r="1210" spans="1:7" s="1" customFormat="1" ht="31.5">
      <c r="A1210" s="22" t="s">
        <v>76</v>
      </c>
      <c r="B1210" s="33" t="s">
        <v>75</v>
      </c>
      <c r="C1210" s="25" t="s">
        <v>53</v>
      </c>
      <c r="D1210" s="24">
        <v>10</v>
      </c>
      <c r="E1210" s="24">
        <v>10</v>
      </c>
      <c r="F1210" s="23">
        <v>0</v>
      </c>
      <c r="G1210" s="22"/>
    </row>
    <row r="1211" spans="1:7" s="1" customFormat="1" ht="63">
      <c r="A1211" s="22" t="s">
        <v>74</v>
      </c>
      <c r="B1211" s="33" t="s">
        <v>73</v>
      </c>
      <c r="C1211" s="22" t="s">
        <v>21</v>
      </c>
      <c r="D1211" s="24">
        <v>5936.6549999999997</v>
      </c>
      <c r="E1211" s="24">
        <v>5936.6549999999997</v>
      </c>
      <c r="F1211" s="23">
        <v>0</v>
      </c>
      <c r="G1211" s="22"/>
    </row>
    <row r="1212" spans="1:7" s="1" customFormat="1" ht="47.25">
      <c r="A1212" s="22" t="s">
        <v>72</v>
      </c>
      <c r="B1212" s="33" t="s">
        <v>71</v>
      </c>
      <c r="C1212" s="25" t="s">
        <v>53</v>
      </c>
      <c r="D1212" s="24">
        <v>8000</v>
      </c>
      <c r="E1212" s="24">
        <v>8000</v>
      </c>
      <c r="F1212" s="23">
        <v>0</v>
      </c>
      <c r="G1212" s="22"/>
    </row>
    <row r="1213" spans="1:7" s="1" customFormat="1" ht="63">
      <c r="A1213" s="22" t="s">
        <v>70</v>
      </c>
      <c r="B1213" s="33" t="s">
        <v>69</v>
      </c>
      <c r="C1213" s="22" t="s">
        <v>21</v>
      </c>
      <c r="D1213" s="24">
        <v>6135.451</v>
      </c>
      <c r="E1213" s="24">
        <v>5274.9390000000003</v>
      </c>
      <c r="F1213" s="23">
        <v>4231.7129999999997</v>
      </c>
      <c r="G1213" s="22" t="s">
        <v>68</v>
      </c>
    </row>
    <row r="1214" spans="1:7" s="1" customFormat="1" ht="47.25">
      <c r="A1214" s="22" t="s">
        <v>67</v>
      </c>
      <c r="B1214" s="33" t="s">
        <v>66</v>
      </c>
      <c r="C1214" s="22" t="s">
        <v>21</v>
      </c>
      <c r="D1214" s="24">
        <v>1900</v>
      </c>
      <c r="E1214" s="24">
        <v>130</v>
      </c>
      <c r="F1214" s="23">
        <v>53.502000000000002</v>
      </c>
      <c r="G1214" s="22" t="s">
        <v>65</v>
      </c>
    </row>
    <row r="1215" spans="1:7" s="1" customFormat="1" ht="31.5">
      <c r="A1215" s="22" t="s">
        <v>64</v>
      </c>
      <c r="B1215" s="33" t="s">
        <v>63</v>
      </c>
      <c r="C1215" s="22" t="s">
        <v>21</v>
      </c>
      <c r="D1215" s="24">
        <v>800</v>
      </c>
      <c r="E1215" s="24">
        <v>800</v>
      </c>
      <c r="F1215" s="23">
        <v>799.44</v>
      </c>
      <c r="G1215" s="22" t="s">
        <v>62</v>
      </c>
    </row>
    <row r="1216" spans="1:7" s="1" customFormat="1" ht="47.25">
      <c r="A1216" s="22" t="s">
        <v>61</v>
      </c>
      <c r="B1216" s="33" t="s">
        <v>60</v>
      </c>
      <c r="C1216" s="22" t="s">
        <v>21</v>
      </c>
      <c r="D1216" s="24">
        <v>7900</v>
      </c>
      <c r="E1216" s="24">
        <v>7755.2759999999998</v>
      </c>
      <c r="F1216" s="23">
        <v>6625.5510000000004</v>
      </c>
      <c r="G1216" s="22" t="s">
        <v>59</v>
      </c>
    </row>
    <row r="1217" spans="1:7" s="1" customFormat="1" ht="47.25">
      <c r="A1217" s="22" t="s">
        <v>58</v>
      </c>
      <c r="B1217" s="33" t="s">
        <v>57</v>
      </c>
      <c r="C1217" s="32" t="s">
        <v>44</v>
      </c>
      <c r="D1217" s="24">
        <v>6605.05</v>
      </c>
      <c r="E1217" s="24">
        <v>3864.1529999999998</v>
      </c>
      <c r="F1217" s="23">
        <v>2057.9169999999999</v>
      </c>
      <c r="G1217" s="22" t="s">
        <v>56</v>
      </c>
    </row>
    <row r="1218" spans="1:7" s="1" customFormat="1" ht="31.5">
      <c r="A1218" s="22" t="s">
        <v>55</v>
      </c>
      <c r="B1218" s="33" t="s">
        <v>54</v>
      </c>
      <c r="C1218" s="25" t="s">
        <v>53</v>
      </c>
      <c r="D1218" s="24">
        <v>2011.6949999999999</v>
      </c>
      <c r="E1218" s="24">
        <v>1489</v>
      </c>
      <c r="F1218" s="23">
        <v>615.95699999999999</v>
      </c>
      <c r="G1218" s="22" t="s">
        <v>52</v>
      </c>
    </row>
    <row r="1219" spans="1:7" s="1" customFormat="1" ht="31.5">
      <c r="A1219" s="22" t="s">
        <v>51</v>
      </c>
      <c r="B1219" s="33" t="s">
        <v>50</v>
      </c>
      <c r="C1219" s="32" t="s">
        <v>44</v>
      </c>
      <c r="D1219" s="24">
        <v>400</v>
      </c>
      <c r="E1219" s="24">
        <v>148.28</v>
      </c>
      <c r="F1219" s="23">
        <v>0</v>
      </c>
      <c r="G1219" s="22"/>
    </row>
    <row r="1220" spans="1:7" s="1" customFormat="1" ht="31.5">
      <c r="A1220" s="22" t="s">
        <v>49</v>
      </c>
      <c r="B1220" s="33" t="s">
        <v>48</v>
      </c>
      <c r="C1220" s="32" t="s">
        <v>44</v>
      </c>
      <c r="D1220" s="24">
        <v>8000</v>
      </c>
      <c r="E1220" s="24">
        <v>2931.7449999999999</v>
      </c>
      <c r="F1220" s="23">
        <v>2529.819</v>
      </c>
      <c r="G1220" s="22" t="s">
        <v>47</v>
      </c>
    </row>
    <row r="1221" spans="1:7" s="1" customFormat="1" ht="31.5">
      <c r="A1221" s="22" t="s">
        <v>46</v>
      </c>
      <c r="B1221" s="33" t="s">
        <v>45</v>
      </c>
      <c r="C1221" s="32" t="s">
        <v>44</v>
      </c>
      <c r="D1221" s="24">
        <v>1222.3399999999999</v>
      </c>
      <c r="E1221" s="24">
        <v>45.347999999999999</v>
      </c>
      <c r="F1221" s="23">
        <v>0</v>
      </c>
      <c r="G1221" s="25"/>
    </row>
    <row r="1222" spans="1:7" s="1" customFormat="1" ht="31.5">
      <c r="A1222" s="22" t="s">
        <v>43</v>
      </c>
      <c r="B1222" s="28" t="s">
        <v>42</v>
      </c>
      <c r="C1222" s="25" t="s">
        <v>41</v>
      </c>
      <c r="D1222" s="24">
        <v>1854.402</v>
      </c>
      <c r="E1222" s="24">
        <v>123.78100000000001</v>
      </c>
      <c r="F1222" s="23">
        <v>0</v>
      </c>
      <c r="G1222" s="22"/>
    </row>
    <row r="1223" spans="1:7" s="1" customFormat="1" ht="31.5">
      <c r="A1223" s="25" t="s">
        <v>40</v>
      </c>
      <c r="B1223" s="28" t="s">
        <v>39</v>
      </c>
      <c r="C1223" s="25" t="s">
        <v>35</v>
      </c>
      <c r="D1223" s="24">
        <v>849.32399999999996</v>
      </c>
      <c r="E1223" s="24">
        <v>261</v>
      </c>
      <c r="F1223" s="24">
        <v>200.172</v>
      </c>
      <c r="G1223" s="25" t="s">
        <v>38</v>
      </c>
    </row>
    <row r="1224" spans="1:7" s="1" customFormat="1" ht="31.5">
      <c r="A1224" s="22" t="s">
        <v>37</v>
      </c>
      <c r="B1224" s="28" t="s">
        <v>36</v>
      </c>
      <c r="C1224" s="25" t="s">
        <v>35</v>
      </c>
      <c r="D1224" s="24">
        <v>500</v>
      </c>
      <c r="E1224" s="31">
        <v>0</v>
      </c>
      <c r="F1224" s="23">
        <v>0</v>
      </c>
      <c r="G1224" s="22"/>
    </row>
    <row r="1225" spans="1:7" s="1" customFormat="1" ht="63">
      <c r="A1225" s="22" t="s">
        <v>34</v>
      </c>
      <c r="B1225" s="28" t="s">
        <v>33</v>
      </c>
      <c r="C1225" s="25" t="s">
        <v>32</v>
      </c>
      <c r="D1225" s="24">
        <v>1518.123</v>
      </c>
      <c r="E1225" s="30">
        <v>1518.123</v>
      </c>
      <c r="F1225" s="29">
        <v>1376.1410000000001</v>
      </c>
      <c r="G1225" s="22" t="s">
        <v>31</v>
      </c>
    </row>
    <row r="1226" spans="1:7" s="1" customFormat="1" ht="31.5">
      <c r="A1226" s="22" t="s">
        <v>30</v>
      </c>
      <c r="B1226" s="28" t="s">
        <v>29</v>
      </c>
      <c r="C1226" s="25" t="s">
        <v>28</v>
      </c>
      <c r="D1226" s="24">
        <v>651.57500000000005</v>
      </c>
      <c r="E1226" s="27">
        <v>651.57500000000005</v>
      </c>
      <c r="F1226" s="23">
        <v>651.57500000000005</v>
      </c>
      <c r="G1226" s="22" t="s">
        <v>27</v>
      </c>
    </row>
    <row r="1227" spans="1:7" s="1" customFormat="1" ht="31.5">
      <c r="A1227" s="22" t="s">
        <v>26</v>
      </c>
      <c r="B1227" s="26" t="s">
        <v>25</v>
      </c>
      <c r="C1227" s="25" t="s">
        <v>21</v>
      </c>
      <c r="D1227" s="24">
        <v>1078.3820000000001</v>
      </c>
      <c r="E1227" s="24">
        <v>1078.3820000000001</v>
      </c>
      <c r="F1227" s="23">
        <v>1078.3820000000001</v>
      </c>
      <c r="G1227" s="22" t="s">
        <v>24</v>
      </c>
    </row>
    <row r="1228" spans="1:7" s="1" customFormat="1" ht="31.5">
      <c r="A1228" s="22" t="s">
        <v>23</v>
      </c>
      <c r="B1228" s="26" t="s">
        <v>22</v>
      </c>
      <c r="C1228" s="25" t="s">
        <v>21</v>
      </c>
      <c r="D1228" s="24">
        <v>251.92</v>
      </c>
      <c r="E1228" s="24">
        <v>251.92</v>
      </c>
      <c r="F1228" s="23">
        <v>251.92</v>
      </c>
      <c r="G1228" s="22" t="s">
        <v>20</v>
      </c>
    </row>
    <row r="1229" spans="1:7" s="1" customFormat="1">
      <c r="A1229" s="21"/>
      <c r="B1229" s="19" t="s">
        <v>1</v>
      </c>
      <c r="C1229" s="21" t="s">
        <v>0</v>
      </c>
      <c r="D1229" s="20">
        <f>SUM(D1183:D1228)</f>
        <v>136080.61500000002</v>
      </c>
      <c r="E1229" s="20">
        <f>SUM(E1183:E1228)</f>
        <v>99164.925999999978</v>
      </c>
      <c r="F1229" s="20">
        <f>SUM(F1183:F1228)</f>
        <v>67440.292000000001</v>
      </c>
      <c r="G1229" s="19" t="s">
        <v>0</v>
      </c>
    </row>
    <row r="1230" spans="1:7" s="1" customFormat="1" ht="17.45" customHeight="1">
      <c r="A1230" s="18" t="s">
        <v>19</v>
      </c>
      <c r="B1230" s="17"/>
      <c r="C1230" s="17"/>
      <c r="D1230" s="17"/>
      <c r="E1230" s="17"/>
      <c r="F1230" s="17"/>
      <c r="G1230" s="16"/>
    </row>
    <row r="1231" spans="1:7" s="1" customFormat="1" ht="63">
      <c r="A1231" s="11" t="s">
        <v>15</v>
      </c>
      <c r="B1231" s="13" t="s">
        <v>18</v>
      </c>
      <c r="C1231" s="13" t="s">
        <v>17</v>
      </c>
      <c r="D1231" s="12">
        <v>990</v>
      </c>
      <c r="E1231" s="12">
        <v>990</v>
      </c>
      <c r="F1231" s="12">
        <v>744.63900000000001</v>
      </c>
      <c r="G1231" s="11" t="s">
        <v>16</v>
      </c>
    </row>
    <row r="1232" spans="1:7" s="1" customFormat="1" ht="78.75">
      <c r="A1232" s="11" t="s">
        <v>15</v>
      </c>
      <c r="B1232" s="11" t="s">
        <v>14</v>
      </c>
      <c r="C1232" s="11" t="s">
        <v>13</v>
      </c>
      <c r="D1232" s="12">
        <v>2560</v>
      </c>
      <c r="E1232" s="12">
        <v>965.63300000000004</v>
      </c>
      <c r="F1232" s="12">
        <v>0</v>
      </c>
      <c r="G1232" s="11"/>
    </row>
    <row r="1233" spans="1:7" s="1" customFormat="1" ht="47.25">
      <c r="A1233" s="13" t="s">
        <v>12</v>
      </c>
      <c r="B1233" s="13" t="s">
        <v>11</v>
      </c>
      <c r="C1233" s="11" t="s">
        <v>10</v>
      </c>
      <c r="D1233" s="12">
        <v>1400</v>
      </c>
      <c r="E1233" s="12">
        <v>53.738999999999997</v>
      </c>
      <c r="F1233" s="12">
        <v>53.738999999999997</v>
      </c>
      <c r="G1233" s="15" t="s">
        <v>9</v>
      </c>
    </row>
    <row r="1234" spans="1:7" s="1" customFormat="1" ht="72.599999999999994" customHeight="1">
      <c r="A1234" s="13" t="s">
        <v>8</v>
      </c>
      <c r="B1234" s="13" t="s">
        <v>7</v>
      </c>
      <c r="C1234" s="11" t="s">
        <v>6</v>
      </c>
      <c r="D1234" s="12">
        <v>2749.4870000000001</v>
      </c>
      <c r="E1234" s="12">
        <v>2749.4870000000001</v>
      </c>
      <c r="F1234" s="12">
        <v>903.173</v>
      </c>
      <c r="G1234" s="14" t="s">
        <v>5</v>
      </c>
    </row>
    <row r="1235" spans="1:7" s="1" customFormat="1" ht="94.5">
      <c r="A1235" s="13" t="s">
        <v>4</v>
      </c>
      <c r="B1235" s="13" t="s">
        <v>3</v>
      </c>
      <c r="C1235" s="11" t="s">
        <v>2</v>
      </c>
      <c r="D1235" s="12">
        <v>1560</v>
      </c>
      <c r="E1235" s="12">
        <v>0</v>
      </c>
      <c r="F1235" s="12">
        <v>0</v>
      </c>
      <c r="G1235" s="11"/>
    </row>
    <row r="1236" spans="1:7" s="1" customFormat="1" ht="16.5" thickBot="1">
      <c r="A1236" s="10"/>
      <c r="B1236" s="9" t="s">
        <v>1</v>
      </c>
      <c r="C1236" s="8" t="s">
        <v>0</v>
      </c>
      <c r="D1236" s="7">
        <f>SUM(D1231:D1235)</f>
        <v>9259.487000000001</v>
      </c>
      <c r="E1236" s="7">
        <f>SUM(E1230:E1235)</f>
        <v>4758.8590000000004</v>
      </c>
      <c r="F1236" s="7">
        <f>SUM(F1230:F1235)</f>
        <v>1701.5509999999999</v>
      </c>
      <c r="G1236" s="6" t="s">
        <v>0</v>
      </c>
    </row>
  </sheetData>
  <autoFilter ref="A4:K11"/>
  <mergeCells count="613">
    <mergeCell ref="D950:D951"/>
    <mergeCell ref="E950:E951"/>
    <mergeCell ref="B866:B867"/>
    <mergeCell ref="D870:D871"/>
    <mergeCell ref="F870:F871"/>
    <mergeCell ref="E870:E871"/>
    <mergeCell ref="D873:D874"/>
    <mergeCell ref="E873:E874"/>
    <mergeCell ref="F873:F874"/>
    <mergeCell ref="D886:D887"/>
    <mergeCell ref="F866:F867"/>
    <mergeCell ref="G866:G867"/>
    <mergeCell ref="D868:D869"/>
    <mergeCell ref="E868:E869"/>
    <mergeCell ref="C866:C867"/>
    <mergeCell ref="D935:D936"/>
    <mergeCell ref="E935:E936"/>
    <mergeCell ref="E886:E887"/>
    <mergeCell ref="D861:D862"/>
    <mergeCell ref="E861:E862"/>
    <mergeCell ref="D864:D865"/>
    <mergeCell ref="E864:E865"/>
    <mergeCell ref="D866:D867"/>
    <mergeCell ref="E866:E867"/>
    <mergeCell ref="E852:E853"/>
    <mergeCell ref="D852:D853"/>
    <mergeCell ref="D855:D856"/>
    <mergeCell ref="E855:E856"/>
    <mergeCell ref="D859:D860"/>
    <mergeCell ref="E859:E860"/>
    <mergeCell ref="A295:A299"/>
    <mergeCell ref="B295:B299"/>
    <mergeCell ref="D295:D299"/>
    <mergeCell ref="E295:E299"/>
    <mergeCell ref="A155:A157"/>
    <mergeCell ref="B155:B157"/>
    <mergeCell ref="C155:C157"/>
    <mergeCell ref="E126:E129"/>
    <mergeCell ref="E122:E125"/>
    <mergeCell ref="E118:E121"/>
    <mergeCell ref="E114:E117"/>
    <mergeCell ref="D823:D824"/>
    <mergeCell ref="E823:E824"/>
    <mergeCell ref="E300:E304"/>
    <mergeCell ref="E203:E204"/>
    <mergeCell ref="A483:G483"/>
    <mergeCell ref="G300:G301"/>
    <mergeCell ref="A223:A226"/>
    <mergeCell ref="B223:B226"/>
    <mergeCell ref="G295:G297"/>
    <mergeCell ref="A300:A304"/>
    <mergeCell ref="B300:B304"/>
    <mergeCell ref="D300:D304"/>
    <mergeCell ref="A290:A294"/>
    <mergeCell ref="B290:B294"/>
    <mergeCell ref="D290:D294"/>
    <mergeCell ref="E290:E294"/>
    <mergeCell ref="C215:C218"/>
    <mergeCell ref="D215:D218"/>
    <mergeCell ref="E215:E218"/>
    <mergeCell ref="A219:A222"/>
    <mergeCell ref="B219:B222"/>
    <mergeCell ref="C219:C222"/>
    <mergeCell ref="D219:D222"/>
    <mergeCell ref="E219:E222"/>
    <mergeCell ref="A1230:G1230"/>
    <mergeCell ref="A485:G485"/>
    <mergeCell ref="A821:G821"/>
    <mergeCell ref="A147:A150"/>
    <mergeCell ref="B147:B150"/>
    <mergeCell ref="C147:C150"/>
    <mergeCell ref="D147:D150"/>
    <mergeCell ref="E147:E150"/>
    <mergeCell ref="A215:A218"/>
    <mergeCell ref="B215:B218"/>
    <mergeCell ref="C143:C146"/>
    <mergeCell ref="D143:D146"/>
    <mergeCell ref="E143:E146"/>
    <mergeCell ref="A151:B151"/>
    <mergeCell ref="A152:A154"/>
    <mergeCell ref="B152:B154"/>
    <mergeCell ref="C152:C154"/>
    <mergeCell ref="D152:D154"/>
    <mergeCell ref="E152:E154"/>
    <mergeCell ref="A142:C142"/>
    <mergeCell ref="D155:D157"/>
    <mergeCell ref="E155:E157"/>
    <mergeCell ref="A158:A161"/>
    <mergeCell ref="B158:B161"/>
    <mergeCell ref="C158:C161"/>
    <mergeCell ref="D158:D160"/>
    <mergeCell ref="E158:E160"/>
    <mergeCell ref="A143:A146"/>
    <mergeCell ref="B143:B146"/>
    <mergeCell ref="E24:E27"/>
    <mergeCell ref="A28:A30"/>
    <mergeCell ref="B28:B30"/>
    <mergeCell ref="A138:A141"/>
    <mergeCell ref="B138:B141"/>
    <mergeCell ref="C138:C141"/>
    <mergeCell ref="D138:D141"/>
    <mergeCell ref="E138:E141"/>
    <mergeCell ref="E134:E137"/>
    <mergeCell ref="E130:E133"/>
    <mergeCell ref="A1182:G1182"/>
    <mergeCell ref="A33:G33"/>
    <mergeCell ref="A15:A17"/>
    <mergeCell ref="B15:B17"/>
    <mergeCell ref="D15:D17"/>
    <mergeCell ref="E15:E17"/>
    <mergeCell ref="A19:A22"/>
    <mergeCell ref="B19:B22"/>
    <mergeCell ref="D19:D22"/>
    <mergeCell ref="E19:E22"/>
    <mergeCell ref="A130:A133"/>
    <mergeCell ref="B130:B133"/>
    <mergeCell ref="C130:C133"/>
    <mergeCell ref="D130:D133"/>
    <mergeCell ref="A134:A137"/>
    <mergeCell ref="B134:B137"/>
    <mergeCell ref="C134:C137"/>
    <mergeCell ref="D134:D137"/>
    <mergeCell ref="A122:A125"/>
    <mergeCell ref="B122:B125"/>
    <mergeCell ref="C122:C125"/>
    <mergeCell ref="D122:D125"/>
    <mergeCell ref="A126:A129"/>
    <mergeCell ref="B126:B129"/>
    <mergeCell ref="C126:C129"/>
    <mergeCell ref="D126:D129"/>
    <mergeCell ref="A114:A117"/>
    <mergeCell ref="B114:B117"/>
    <mergeCell ref="C114:C117"/>
    <mergeCell ref="D114:D117"/>
    <mergeCell ref="A118:A121"/>
    <mergeCell ref="B118:B121"/>
    <mergeCell ref="C118:C121"/>
    <mergeCell ref="D118:D121"/>
    <mergeCell ref="A109:A112"/>
    <mergeCell ref="B109:B112"/>
    <mergeCell ref="C109:C112"/>
    <mergeCell ref="D109:D112"/>
    <mergeCell ref="E109:E112"/>
    <mergeCell ref="A113:C113"/>
    <mergeCell ref="A97:A99"/>
    <mergeCell ref="B97:B99"/>
    <mergeCell ref="D97:D99"/>
    <mergeCell ref="E97:E99"/>
    <mergeCell ref="C102:C103"/>
    <mergeCell ref="D102:D103"/>
    <mergeCell ref="E102:E103"/>
    <mergeCell ref="A92:A93"/>
    <mergeCell ref="B92:B93"/>
    <mergeCell ref="D92:D93"/>
    <mergeCell ref="E92:E93"/>
    <mergeCell ref="A107:G107"/>
    <mergeCell ref="A268:G268"/>
    <mergeCell ref="A94:A96"/>
    <mergeCell ref="B94:B96"/>
    <mergeCell ref="D94:D96"/>
    <mergeCell ref="E94:E96"/>
    <mergeCell ref="A83:A86"/>
    <mergeCell ref="B83:B86"/>
    <mergeCell ref="D83:D86"/>
    <mergeCell ref="E83:E86"/>
    <mergeCell ref="A87:A89"/>
    <mergeCell ref="B87:B89"/>
    <mergeCell ref="D87:D89"/>
    <mergeCell ref="E87:E89"/>
    <mergeCell ref="B78:B79"/>
    <mergeCell ref="C78:C79"/>
    <mergeCell ref="D78:D79"/>
    <mergeCell ref="E78:E79"/>
    <mergeCell ref="A81:A82"/>
    <mergeCell ref="B81:B82"/>
    <mergeCell ref="D81:D82"/>
    <mergeCell ref="E81:E82"/>
    <mergeCell ref="A72:A74"/>
    <mergeCell ref="B72:B74"/>
    <mergeCell ref="D72:D74"/>
    <mergeCell ref="E72:E74"/>
    <mergeCell ref="A75:A77"/>
    <mergeCell ref="B75:B77"/>
    <mergeCell ref="D75:D77"/>
    <mergeCell ref="E75:E77"/>
    <mergeCell ref="A65:A66"/>
    <mergeCell ref="B65:B66"/>
    <mergeCell ref="C65:C66"/>
    <mergeCell ref="D65:D66"/>
    <mergeCell ref="E65:E66"/>
    <mergeCell ref="A68:A70"/>
    <mergeCell ref="B68:B70"/>
    <mergeCell ref="D68:D70"/>
    <mergeCell ref="E68:E70"/>
    <mergeCell ref="A48:G48"/>
    <mergeCell ref="A38:G38"/>
    <mergeCell ref="A36:G36"/>
    <mergeCell ref="E28:E30"/>
    <mergeCell ref="A58:G58"/>
    <mergeCell ref="A5:G5"/>
    <mergeCell ref="A14:G14"/>
    <mergeCell ref="A24:A27"/>
    <mergeCell ref="B24:B27"/>
    <mergeCell ref="D24:D27"/>
    <mergeCell ref="A59:A60"/>
    <mergeCell ref="B59:B60"/>
    <mergeCell ref="D59:D60"/>
    <mergeCell ref="E59:E60"/>
    <mergeCell ref="D28:D30"/>
    <mergeCell ref="A56:G56"/>
    <mergeCell ref="A40:G40"/>
    <mergeCell ref="A42:G42"/>
    <mergeCell ref="A44:G44"/>
    <mergeCell ref="A46:G46"/>
    <mergeCell ref="A2:G2"/>
    <mergeCell ref="A3:A4"/>
    <mergeCell ref="B3:B4"/>
    <mergeCell ref="C3:C4"/>
    <mergeCell ref="D3:F3"/>
    <mergeCell ref="G3:G4"/>
    <mergeCell ref="A162:A165"/>
    <mergeCell ref="B162:B165"/>
    <mergeCell ref="C162:C165"/>
    <mergeCell ref="D162:D165"/>
    <mergeCell ref="E162:E165"/>
    <mergeCell ref="A166:A168"/>
    <mergeCell ref="B166:B168"/>
    <mergeCell ref="C166:C168"/>
    <mergeCell ref="D166:D168"/>
    <mergeCell ref="E166:E168"/>
    <mergeCell ref="A169:A171"/>
    <mergeCell ref="B169:B171"/>
    <mergeCell ref="C169:C171"/>
    <mergeCell ref="D169:D171"/>
    <mergeCell ref="E169:E171"/>
    <mergeCell ref="A172:A174"/>
    <mergeCell ref="B172:B174"/>
    <mergeCell ref="C172:C174"/>
    <mergeCell ref="D172:D174"/>
    <mergeCell ref="E172:E174"/>
    <mergeCell ref="A175:A177"/>
    <mergeCell ref="B175:B177"/>
    <mergeCell ref="C175:C177"/>
    <mergeCell ref="D175:D177"/>
    <mergeCell ref="E175:E177"/>
    <mergeCell ref="A178:A180"/>
    <mergeCell ref="B178:B180"/>
    <mergeCell ref="C178:C180"/>
    <mergeCell ref="D178:D180"/>
    <mergeCell ref="E178:E180"/>
    <mergeCell ref="A181:A183"/>
    <mergeCell ref="B181:B183"/>
    <mergeCell ref="C181:C183"/>
    <mergeCell ref="D181:D183"/>
    <mergeCell ref="E181:E183"/>
    <mergeCell ref="A184:A188"/>
    <mergeCell ref="B184:B188"/>
    <mergeCell ref="C184:C188"/>
    <mergeCell ref="D184:D188"/>
    <mergeCell ref="E184:E188"/>
    <mergeCell ref="E189:E191"/>
    <mergeCell ref="A193:B193"/>
    <mergeCell ref="A194:A197"/>
    <mergeCell ref="B194:B197"/>
    <mergeCell ref="C194:C197"/>
    <mergeCell ref="D194:D197"/>
    <mergeCell ref="E194:E197"/>
    <mergeCell ref="A202:B202"/>
    <mergeCell ref="A203:A204"/>
    <mergeCell ref="B203:B204"/>
    <mergeCell ref="C203:C204"/>
    <mergeCell ref="D203:D204"/>
    <mergeCell ref="A189:A192"/>
    <mergeCell ref="B189:B192"/>
    <mergeCell ref="C189:C192"/>
    <mergeCell ref="D189:D191"/>
    <mergeCell ref="A209:A211"/>
    <mergeCell ref="B209:B211"/>
    <mergeCell ref="C209:C211"/>
    <mergeCell ref="D209:D211"/>
    <mergeCell ref="E209:E211"/>
    <mergeCell ref="A198:B198"/>
    <mergeCell ref="A199:A201"/>
    <mergeCell ref="B199:B201"/>
    <mergeCell ref="C199:C201"/>
    <mergeCell ref="D199:D201"/>
    <mergeCell ref="C223:C226"/>
    <mergeCell ref="D223:D226"/>
    <mergeCell ref="E223:E226"/>
    <mergeCell ref="A227:B227"/>
    <mergeCell ref="A205:B205"/>
    <mergeCell ref="A206:A208"/>
    <mergeCell ref="B206:B208"/>
    <mergeCell ref="C206:C208"/>
    <mergeCell ref="D206:D208"/>
    <mergeCell ref="E206:E208"/>
    <mergeCell ref="A269:C269"/>
    <mergeCell ref="A270:A274"/>
    <mergeCell ref="B270:B274"/>
    <mergeCell ref="D270:D274"/>
    <mergeCell ref="E270:E274"/>
    <mergeCell ref="A212:A214"/>
    <mergeCell ref="B212:B214"/>
    <mergeCell ref="C212:C214"/>
    <mergeCell ref="D212:D214"/>
    <mergeCell ref="E212:E214"/>
    <mergeCell ref="A236:C236"/>
    <mergeCell ref="A237:G237"/>
    <mergeCell ref="A228:A230"/>
    <mergeCell ref="B228:B230"/>
    <mergeCell ref="C228:C230"/>
    <mergeCell ref="D228:D230"/>
    <mergeCell ref="E228:E230"/>
    <mergeCell ref="A231:A233"/>
    <mergeCell ref="B231:B233"/>
    <mergeCell ref="C231:C233"/>
    <mergeCell ref="D231:D233"/>
    <mergeCell ref="E231:E233"/>
    <mergeCell ref="A234:B234"/>
    <mergeCell ref="A285:A289"/>
    <mergeCell ref="B285:B289"/>
    <mergeCell ref="D285:D289"/>
    <mergeCell ref="E285:E289"/>
    <mergeCell ref="E275:E279"/>
    <mergeCell ref="G270:G271"/>
    <mergeCell ref="A275:A279"/>
    <mergeCell ref="B275:B279"/>
    <mergeCell ref="D275:D279"/>
    <mergeCell ref="G275:G276"/>
    <mergeCell ref="A280:A284"/>
    <mergeCell ref="B280:B284"/>
    <mergeCell ref="D280:D284"/>
    <mergeCell ref="E280:E284"/>
    <mergeCell ref="G280:G282"/>
    <mergeCell ref="A323:A327"/>
    <mergeCell ref="B323:B327"/>
    <mergeCell ref="D323:D327"/>
    <mergeCell ref="E323:E327"/>
    <mergeCell ref="G310:G312"/>
    <mergeCell ref="A315:A319"/>
    <mergeCell ref="B315:B319"/>
    <mergeCell ref="D315:D319"/>
    <mergeCell ref="E315:E319"/>
    <mergeCell ref="G315:G316"/>
    <mergeCell ref="A305:A309"/>
    <mergeCell ref="B305:B309"/>
    <mergeCell ref="D305:D309"/>
    <mergeCell ref="E305:E309"/>
    <mergeCell ref="G305:G307"/>
    <mergeCell ref="A322:C322"/>
    <mergeCell ref="A310:A314"/>
    <mergeCell ref="B310:B314"/>
    <mergeCell ref="D310:D314"/>
    <mergeCell ref="E310:E314"/>
    <mergeCell ref="A328:A332"/>
    <mergeCell ref="B328:B332"/>
    <mergeCell ref="D328:D332"/>
    <mergeCell ref="E328:E332"/>
    <mergeCell ref="G333:G334"/>
    <mergeCell ref="A338:A342"/>
    <mergeCell ref="B338:B342"/>
    <mergeCell ref="D338:D342"/>
    <mergeCell ref="E338:E342"/>
    <mergeCell ref="G338:G339"/>
    <mergeCell ref="A343:A347"/>
    <mergeCell ref="B343:B347"/>
    <mergeCell ref="D343:D347"/>
    <mergeCell ref="E343:E347"/>
    <mergeCell ref="G343:G344"/>
    <mergeCell ref="A333:A337"/>
    <mergeCell ref="B333:B337"/>
    <mergeCell ref="D333:D337"/>
    <mergeCell ref="E333:E337"/>
    <mergeCell ref="D361:D365"/>
    <mergeCell ref="E361:E365"/>
    <mergeCell ref="G361:G363"/>
    <mergeCell ref="A348:A352"/>
    <mergeCell ref="B348:B352"/>
    <mergeCell ref="D348:D352"/>
    <mergeCell ref="E348:E352"/>
    <mergeCell ref="G372:G374"/>
    <mergeCell ref="G348:G349"/>
    <mergeCell ref="A353:A357"/>
    <mergeCell ref="B353:B357"/>
    <mergeCell ref="D353:D357"/>
    <mergeCell ref="E353:E357"/>
    <mergeCell ref="F353:F354"/>
    <mergeCell ref="G353:G355"/>
    <mergeCell ref="A361:A365"/>
    <mergeCell ref="B361:B365"/>
    <mergeCell ref="A371:C371"/>
    <mergeCell ref="A372:A376"/>
    <mergeCell ref="B372:B376"/>
    <mergeCell ref="D372:D376"/>
    <mergeCell ref="E372:E376"/>
    <mergeCell ref="F372:F373"/>
    <mergeCell ref="A367:C367"/>
    <mergeCell ref="A368:A369"/>
    <mergeCell ref="B368:B369"/>
    <mergeCell ref="D368:D369"/>
    <mergeCell ref="E368:E369"/>
    <mergeCell ref="G368:G369"/>
    <mergeCell ref="A378:C378"/>
    <mergeCell ref="A379:A383"/>
    <mergeCell ref="B379:B383"/>
    <mergeCell ref="D379:D383"/>
    <mergeCell ref="G379:G380"/>
    <mergeCell ref="A384:A386"/>
    <mergeCell ref="B384:B386"/>
    <mergeCell ref="D384:D386"/>
    <mergeCell ref="E384:E386"/>
    <mergeCell ref="G399:G401"/>
    <mergeCell ref="A392:A396"/>
    <mergeCell ref="B392:B396"/>
    <mergeCell ref="D392:D396"/>
    <mergeCell ref="E392:E396"/>
    <mergeCell ref="G392:G393"/>
    <mergeCell ref="A397:C397"/>
    <mergeCell ref="A398:C398"/>
    <mergeCell ref="A399:A403"/>
    <mergeCell ref="B399:B403"/>
    <mergeCell ref="D399:D403"/>
    <mergeCell ref="E399:E403"/>
    <mergeCell ref="G405:G407"/>
    <mergeCell ref="A410:A412"/>
    <mergeCell ref="B410:B412"/>
    <mergeCell ref="D410:D412"/>
    <mergeCell ref="E410:E412"/>
    <mergeCell ref="A387:A391"/>
    <mergeCell ref="B387:B391"/>
    <mergeCell ref="D387:D391"/>
    <mergeCell ref="E387:E391"/>
    <mergeCell ref="G387:G388"/>
    <mergeCell ref="A421:A423"/>
    <mergeCell ref="B421:B423"/>
    <mergeCell ref="D421:D423"/>
    <mergeCell ref="E421:E423"/>
    <mergeCell ref="A404:C404"/>
    <mergeCell ref="A405:A409"/>
    <mergeCell ref="B405:B409"/>
    <mergeCell ref="D405:D409"/>
    <mergeCell ref="E405:E409"/>
    <mergeCell ref="A413:A415"/>
    <mergeCell ref="B413:B415"/>
    <mergeCell ref="D413:D415"/>
    <mergeCell ref="E413:E415"/>
    <mergeCell ref="A416:A420"/>
    <mergeCell ref="B416:B420"/>
    <mergeCell ref="D416:D420"/>
    <mergeCell ref="E416:E420"/>
    <mergeCell ref="G424:G426"/>
    <mergeCell ref="A429:A433"/>
    <mergeCell ref="B429:B433"/>
    <mergeCell ref="D429:D433"/>
    <mergeCell ref="E429:E433"/>
    <mergeCell ref="F429:F430"/>
    <mergeCell ref="G429:G431"/>
    <mergeCell ref="D838:D839"/>
    <mergeCell ref="E838:E839"/>
    <mergeCell ref="D840:D841"/>
    <mergeCell ref="A424:A428"/>
    <mergeCell ref="B424:B428"/>
    <mergeCell ref="D424:D428"/>
    <mergeCell ref="E424:E428"/>
    <mergeCell ref="E840:E841"/>
    <mergeCell ref="G436:G437"/>
    <mergeCell ref="D831:D832"/>
    <mergeCell ref="D834:D835"/>
    <mergeCell ref="E831:E832"/>
    <mergeCell ref="E834:E835"/>
    <mergeCell ref="E836:E837"/>
    <mergeCell ref="D836:D837"/>
    <mergeCell ref="A446:G446"/>
    <mergeCell ref="A434:A435"/>
    <mergeCell ref="B434:B435"/>
    <mergeCell ref="D434:D435"/>
    <mergeCell ref="E434:E435"/>
    <mergeCell ref="G434:G435"/>
    <mergeCell ref="A436:A440"/>
    <mergeCell ref="B436:B440"/>
    <mergeCell ref="D436:D440"/>
    <mergeCell ref="E436:E440"/>
    <mergeCell ref="D985:D986"/>
    <mergeCell ref="E985:E986"/>
    <mergeCell ref="A993:C993"/>
    <mergeCell ref="A972:A973"/>
    <mergeCell ref="B972:B973"/>
    <mergeCell ref="D972:D973"/>
    <mergeCell ref="E972:E973"/>
    <mergeCell ref="A1029:A1030"/>
    <mergeCell ref="B1029:B1030"/>
    <mergeCell ref="D1029:D1030"/>
    <mergeCell ref="E1029:E1030"/>
    <mergeCell ref="A982:A983"/>
    <mergeCell ref="B982:B983"/>
    <mergeCell ref="D982:D983"/>
    <mergeCell ref="E982:E983"/>
    <mergeCell ref="A985:A986"/>
    <mergeCell ref="B985:B986"/>
    <mergeCell ref="A1004:A1005"/>
    <mergeCell ref="B1004:B1005"/>
    <mergeCell ref="D1004:D1005"/>
    <mergeCell ref="E1004:E1005"/>
    <mergeCell ref="A1009:A1010"/>
    <mergeCell ref="B1009:B1010"/>
    <mergeCell ref="D1009:D1010"/>
    <mergeCell ref="E1009:E1010"/>
    <mergeCell ref="G1056:G1057"/>
    <mergeCell ref="A1034:A1035"/>
    <mergeCell ref="B1034:B1035"/>
    <mergeCell ref="D1034:D1035"/>
    <mergeCell ref="E1034:E1035"/>
    <mergeCell ref="A1050:A1051"/>
    <mergeCell ref="B1050:B1051"/>
    <mergeCell ref="D1050:D1051"/>
    <mergeCell ref="E1050:E1051"/>
    <mergeCell ref="G1050:G1051"/>
    <mergeCell ref="A1071:G1071"/>
    <mergeCell ref="A1053:A1054"/>
    <mergeCell ref="B1053:B1054"/>
    <mergeCell ref="D1053:D1054"/>
    <mergeCell ref="E1053:E1054"/>
    <mergeCell ref="G1053:G1054"/>
    <mergeCell ref="A1056:A1057"/>
    <mergeCell ref="B1056:B1057"/>
    <mergeCell ref="D1056:D1057"/>
    <mergeCell ref="E1056:E1057"/>
    <mergeCell ref="A1060:A1061"/>
    <mergeCell ref="B1060:B1061"/>
    <mergeCell ref="D1060:D1061"/>
    <mergeCell ref="E1060:E1061"/>
    <mergeCell ref="A1063:A1064"/>
    <mergeCell ref="B1063:B1064"/>
    <mergeCell ref="D1063:D1064"/>
    <mergeCell ref="E1063:E1064"/>
    <mergeCell ref="D1078:D1079"/>
    <mergeCell ref="E1078:E1079"/>
    <mergeCell ref="A1080:A1081"/>
    <mergeCell ref="B1080:B1081"/>
    <mergeCell ref="D1080:D1081"/>
    <mergeCell ref="E1080:E1081"/>
    <mergeCell ref="A1097:A1098"/>
    <mergeCell ref="B1097:B1098"/>
    <mergeCell ref="D1097:D1098"/>
    <mergeCell ref="E1097:E1098"/>
    <mergeCell ref="A1075:A1077"/>
    <mergeCell ref="B1075:B1077"/>
    <mergeCell ref="D1075:D1077"/>
    <mergeCell ref="E1075:E1077"/>
    <mergeCell ref="A1078:A1079"/>
    <mergeCell ref="B1078:B1079"/>
    <mergeCell ref="A1083:A1084"/>
    <mergeCell ref="B1083:B1084"/>
    <mergeCell ref="D1083:D1084"/>
    <mergeCell ref="E1083:E1084"/>
    <mergeCell ref="A1085:A1086"/>
    <mergeCell ref="B1085:B1086"/>
    <mergeCell ref="D1085:D1086"/>
    <mergeCell ref="E1085:E1086"/>
    <mergeCell ref="D1101:D1102"/>
    <mergeCell ref="E1101:E1102"/>
    <mergeCell ref="A1104:A1105"/>
    <mergeCell ref="B1104:B1105"/>
    <mergeCell ref="D1104:D1105"/>
    <mergeCell ref="E1104:E1105"/>
    <mergeCell ref="A1110:A1111"/>
    <mergeCell ref="B1110:B1111"/>
    <mergeCell ref="D1110:D1111"/>
    <mergeCell ref="E1110:E1111"/>
    <mergeCell ref="A1099:A1100"/>
    <mergeCell ref="B1099:B1100"/>
    <mergeCell ref="D1099:D1100"/>
    <mergeCell ref="E1099:E1100"/>
    <mergeCell ref="A1101:A1102"/>
    <mergeCell ref="B1101:B1102"/>
    <mergeCell ref="A1106:A1107"/>
    <mergeCell ref="B1106:B1107"/>
    <mergeCell ref="D1106:D1107"/>
    <mergeCell ref="E1106:E1107"/>
    <mergeCell ref="A1108:A1109"/>
    <mergeCell ref="B1108:B1109"/>
    <mergeCell ref="D1108:D1109"/>
    <mergeCell ref="E1108:E1109"/>
    <mergeCell ref="A1114:A1116"/>
    <mergeCell ref="B1114:B1116"/>
    <mergeCell ref="D1114:D1116"/>
    <mergeCell ref="E1114:E1116"/>
    <mergeCell ref="A1120:G1120"/>
    <mergeCell ref="A1126:A1127"/>
    <mergeCell ref="B1126:B1127"/>
    <mergeCell ref="C1126:C1127"/>
    <mergeCell ref="D1126:D1127"/>
    <mergeCell ref="E1126:E1127"/>
    <mergeCell ref="E1178:E1180"/>
    <mergeCell ref="A1136:G1136"/>
    <mergeCell ref="A1138:A1139"/>
    <mergeCell ref="B1138:B1139"/>
    <mergeCell ref="D1138:D1139"/>
    <mergeCell ref="E1138:E1139"/>
    <mergeCell ref="A1149:G1149"/>
    <mergeCell ref="A1157:A1158"/>
    <mergeCell ref="B1157:B1158"/>
    <mergeCell ref="D1157:D1158"/>
    <mergeCell ref="B1181:C1181"/>
    <mergeCell ref="A1173:G1173"/>
    <mergeCell ref="A1174:A1175"/>
    <mergeCell ref="B1174:B1175"/>
    <mergeCell ref="D1174:D1175"/>
    <mergeCell ref="E1174:E1175"/>
    <mergeCell ref="A1177:G1177"/>
    <mergeCell ref="A1178:A1180"/>
    <mergeCell ref="B1178:B1180"/>
    <mergeCell ref="D1178:D1180"/>
  </mergeCells>
  <conditionalFormatting sqref="B789 B504:B777 A618:A777">
    <cfRule type="duplicateValues" dxfId="2" priority="3" stopIfTrue="1"/>
  </conditionalFormatting>
  <conditionalFormatting sqref="A778:B788">
    <cfRule type="duplicateValues" dxfId="1" priority="2" stopIfTrue="1"/>
  </conditionalFormatting>
  <conditionalFormatting sqref="A504:A617 A789">
    <cfRule type="duplicateValues" dxfId="0" priority="1" stopIfTrue="1"/>
  </conditionalFormatting>
  <pageMargins left="0.70866141732283472" right="0.27559055118110237" top="0.46" bottom="0.39370078740157483" header="0.42" footer="0.54"/>
  <pageSetup paperSize="9" scale="64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Будівництво Капітальн ремонти</vt:lpstr>
      <vt:lpstr>'Будівництво Капітальн ремонти'!Заголовки_для_печати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User_452d</dc:creator>
  <cp:lastModifiedBy>User_452d</cp:lastModifiedBy>
  <dcterms:created xsi:type="dcterms:W3CDTF">2020-11-27T14:30:36Z</dcterms:created>
  <dcterms:modified xsi:type="dcterms:W3CDTF">2020-11-27T14:31:30Z</dcterms:modified>
</cp:coreProperties>
</file>