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<sst xmlns="http://schemas.openxmlformats.org/spreadsheetml/2006/main" count="184" uniqueCount="75">
  <si>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</si>
  <si>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</si>
  <si>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</si>
  <si>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</si>
  <si>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</si>
  <si>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</si>
  <si>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</si>
  <si>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</si>
  <si>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</si>
  <si>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</si>
  <si>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</si>
  <si>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</si>
  <si>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</si>
  <si>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</si>
  <si>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</si>
  <si>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</si>
  <si>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</si>
  <si>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</si>
  <si>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</si>
  <si>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</si>
  <si>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</si>
  <si>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</si>
  <si>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</si>
  <si>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</si>
  <si>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</si>
  <si>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</si>
  <si>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</si>
  <si>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</si>
  <si>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</si>
  <si>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</si>
  <si>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</si>
  <si>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</si>
  <si>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</si>
  <si>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</si>
  <si>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</si>
  <si>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</si>
  <si>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</si>
  <si>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</si>
  <si>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</si>
  <si>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</si>
  <si>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</si>
  <si>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</si>
  <si>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</si>
  <si>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</si>
  <si>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</si>
  <si>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</si>
  <si>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</si>
  <si>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</si>
  <si>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</si>
  <si>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</si>
  <si>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</si>
  <si>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</si>
  <si>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</si>
  <si>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</si>
  <si>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</si>
  <si>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</si>
  <si>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</si>
  <si>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</si>
  <si>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</si>
  <si>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</si>
  <si>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</si>
  <si>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</si>
  <si>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</si>
  <si>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</si>
  <si>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</si>
  <si>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</si>
  <si>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</si>
  <si>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</si>
  <si>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</si>
  <si>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</si>
  <si>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</si>
  <si>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январь-май с учетом изменений, тыс. грн. </t>
  </si>
  <si>
    <t>План на січень-червень,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</si>
  <si>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17 червня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</si>
  <si>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17 июня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</si>
</sst>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72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724626.208</v>
      </c>
      <c r="C5" s="18">
        <f>C6+C13</f>
        <v>403779.042</v>
      </c>
      <c r="D5" s="18">
        <f>D6+D13</f>
        <v>339979.118</v>
      </c>
      <c r="E5" s="19">
        <f aca="true" t="shared" si="0" ref="E5:E36">SUM(D5)/B5*100</f>
        <v>46.9178611326186</v>
      </c>
      <c r="F5" s="19">
        <f>SUM(D5)/C5*100</f>
        <v>84.19929779317273</v>
      </c>
    </row>
    <row r="6" spans="1:6" s="14" customFormat="1" ht="16.5" customHeight="1">
      <c r="A6" s="30" t="s">
        <v>32</v>
      </c>
      <c r="B6" s="25">
        <v>687901.419</v>
      </c>
      <c r="C6" s="25">
        <v>390767.914</v>
      </c>
      <c r="D6" s="25">
        <f>333092.081+833.284</f>
        <v>333925.365</v>
      </c>
      <c r="E6" s="20">
        <f t="shared" si="0"/>
        <v>48.54261901151857</v>
      </c>
      <c r="F6" s="20">
        <f>SUM(D6)/C6*100</f>
        <v>85.45362938882438</v>
      </c>
    </row>
    <row r="7" spans="1:6" s="3" customFormat="1" ht="14.25" customHeight="1">
      <c r="A7" s="12" t="s">
        <v>1</v>
      </c>
      <c r="B7" s="11">
        <v>401715.273</v>
      </c>
      <c r="C7" s="11">
        <v>236982.495</v>
      </c>
      <c r="D7" s="11">
        <v>205770.238</v>
      </c>
      <c r="E7" s="20">
        <f t="shared" si="0"/>
        <v>51.22290632947879</v>
      </c>
      <c r="F7" s="20">
        <f aca="true" t="shared" si="1" ref="F7:F73">SUM(D7)/C7*100</f>
        <v>86.82929851000178</v>
      </c>
    </row>
    <row r="8" spans="1:6" s="3" customFormat="1" ht="15">
      <c r="A8" s="12" t="s">
        <v>27</v>
      </c>
      <c r="B8" s="11">
        <v>88410.024</v>
      </c>
      <c r="C8" s="11">
        <v>52431.073</v>
      </c>
      <c r="D8" s="11">
        <v>45680.232</v>
      </c>
      <c r="E8" s="20">
        <f t="shared" si="0"/>
        <v>51.66861169498156</v>
      </c>
      <c r="F8" s="20">
        <f t="shared" si="1"/>
        <v>87.1243508596515</v>
      </c>
    </row>
    <row r="9" spans="1:6" s="3" customFormat="1" ht="15">
      <c r="A9" s="12" t="s">
        <v>4</v>
      </c>
      <c r="B9" s="11">
        <v>153.271</v>
      </c>
      <c r="C9" s="11">
        <v>19.152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47933.507</v>
      </c>
      <c r="C10" s="11">
        <v>22205.705</v>
      </c>
      <c r="D10" s="11">
        <f>18210.496+68.018</f>
        <v>18278.514</v>
      </c>
      <c r="E10" s="20">
        <f t="shared" si="0"/>
        <v>38.13306211873878</v>
      </c>
      <c r="F10" s="20">
        <f t="shared" si="1"/>
        <v>82.31449530649893</v>
      </c>
    </row>
    <row r="11" spans="1:6" s="3" customFormat="1" ht="15">
      <c r="A11" s="12" t="s">
        <v>29</v>
      </c>
      <c r="B11" s="11">
        <v>92734.871</v>
      </c>
      <c r="C11" s="11">
        <v>47490.21</v>
      </c>
      <c r="D11" s="11">
        <f>43045.485+4.04</f>
        <v>43049.525</v>
      </c>
      <c r="E11" s="20">
        <f t="shared" si="0"/>
        <v>46.42215440187543</v>
      </c>
      <c r="F11" s="20">
        <f t="shared" si="1"/>
        <v>90.64926223741693</v>
      </c>
    </row>
    <row r="12" spans="1:6" s="3" customFormat="1" ht="15">
      <c r="A12" s="12" t="s">
        <v>13</v>
      </c>
      <c r="B12" s="11">
        <f>SUM(B6)-B7-B8-B9-B10-B11</f>
        <v>56954.47299999998</v>
      </c>
      <c r="C12" s="11">
        <f>SUM(C6)-C7-C8-C9-C10-C11</f>
        <v>31639.278999999988</v>
      </c>
      <c r="D12" s="11">
        <f>SUM(D6)-D7-D8-D9-D10-D11</f>
        <v>21132.652999999984</v>
      </c>
      <c r="E12" s="20">
        <f t="shared" si="0"/>
        <v>37.104465877508844</v>
      </c>
      <c r="F12" s="20">
        <f t="shared" si="1"/>
        <v>66.7924607257959</v>
      </c>
    </row>
    <row r="13" spans="1:6" s="3" customFormat="1" ht="15">
      <c r="A13" s="30" t="s">
        <v>14</v>
      </c>
      <c r="B13" s="25">
        <v>36724.789</v>
      </c>
      <c r="C13" s="25">
        <f>7.5+10201.564+2802.064</f>
        <v>13011.128</v>
      </c>
      <c r="D13" s="25">
        <f>5983.753+70</f>
        <v>6053.753</v>
      </c>
      <c r="E13" s="20">
        <f t="shared" si="0"/>
        <v>16.484105599626456</v>
      </c>
      <c r="F13" s="20">
        <f t="shared" si="1"/>
        <v>46.52750322646891</v>
      </c>
    </row>
    <row r="14" spans="1:6" s="2" customFormat="1" ht="14.25">
      <c r="A14" s="17" t="s">
        <v>6</v>
      </c>
      <c r="B14" s="18">
        <f>B15+B22</f>
        <v>389887.61199999996</v>
      </c>
      <c r="C14" s="18">
        <f>C15+C22</f>
        <v>191432.19</v>
      </c>
      <c r="D14" s="18">
        <f>D15+D22</f>
        <v>156520.316</v>
      </c>
      <c r="E14" s="19">
        <f t="shared" si="0"/>
        <v>40.1449831137492</v>
      </c>
      <c r="F14" s="19">
        <f t="shared" si="1"/>
        <v>81.76279861814253</v>
      </c>
    </row>
    <row r="15" spans="1:6" s="14" customFormat="1" ht="15">
      <c r="A15" s="30" t="s">
        <v>31</v>
      </c>
      <c r="B15" s="25">
        <f>349566.812+25271</f>
        <v>374837.812</v>
      </c>
      <c r="C15" s="25">
        <f>173753.884+12615.2</f>
        <v>186369.084</v>
      </c>
      <c r="D15" s="25">
        <f>143640.015+11560.55</f>
        <v>155200.565</v>
      </c>
      <c r="E15" s="20">
        <f t="shared" si="0"/>
        <v>41.40472493207275</v>
      </c>
      <c r="F15" s="20">
        <f>SUM(D15)/C15*100</f>
        <v>83.27591769458931</v>
      </c>
    </row>
    <row r="16" spans="1:6" s="3" customFormat="1" ht="15">
      <c r="A16" s="12" t="s">
        <v>1</v>
      </c>
      <c r="B16" s="11">
        <v>221602.052</v>
      </c>
      <c r="C16" s="11">
        <v>106554.137</v>
      </c>
      <c r="D16" s="11">
        <v>91200.815</v>
      </c>
      <c r="E16" s="20">
        <f t="shared" si="0"/>
        <v>41.15522134244497</v>
      </c>
      <c r="F16" s="20">
        <f t="shared" si="1"/>
        <v>85.59105968827846</v>
      </c>
    </row>
    <row r="17" spans="1:6" s="3" customFormat="1" ht="15">
      <c r="A17" s="12" t="s">
        <v>27</v>
      </c>
      <c r="B17" s="11">
        <v>48697.18</v>
      </c>
      <c r="C17" s="11">
        <v>23396.168</v>
      </c>
      <c r="D17" s="11">
        <v>19853.266</v>
      </c>
      <c r="E17" s="20">
        <f t="shared" si="0"/>
        <v>40.76882069967912</v>
      </c>
      <c r="F17" s="20">
        <f t="shared" si="1"/>
        <v>84.85691332016422</v>
      </c>
    </row>
    <row r="18" spans="1:6" s="3" customFormat="1" ht="15">
      <c r="A18" s="12" t="s">
        <v>4</v>
      </c>
      <c r="B18" s="11">
        <v>16661.29</v>
      </c>
      <c r="C18" s="11">
        <v>9051.229</v>
      </c>
      <c r="D18" s="11">
        <f>6882.554+245.317</f>
        <v>7127.871</v>
      </c>
      <c r="E18" s="20">
        <f t="shared" si="0"/>
        <v>42.78102715936161</v>
      </c>
      <c r="F18" s="20">
        <f t="shared" si="1"/>
        <v>78.7503111455914</v>
      </c>
    </row>
    <row r="19" spans="1:6" s="3" customFormat="1" ht="15">
      <c r="A19" s="12" t="s">
        <v>5</v>
      </c>
      <c r="B19" s="11">
        <v>6745.744</v>
      </c>
      <c r="C19" s="11">
        <v>4024.459</v>
      </c>
      <c r="D19" s="11">
        <f>2473.257+69.586</f>
        <v>2542.843</v>
      </c>
      <c r="E19" s="20">
        <f t="shared" si="0"/>
        <v>37.69551586896864</v>
      </c>
      <c r="F19" s="20">
        <f t="shared" si="1"/>
        <v>63.184716256271955</v>
      </c>
    </row>
    <row r="20" spans="1:6" s="3" customFormat="1" ht="15">
      <c r="A20" s="12" t="s">
        <v>29</v>
      </c>
      <c r="B20" s="11">
        <v>36131.055</v>
      </c>
      <c r="C20" s="11">
        <v>19914.33</v>
      </c>
      <c r="D20" s="11">
        <f>15701.697+8.626</f>
        <v>15710.323</v>
      </c>
      <c r="E20" s="20">
        <f t="shared" si="0"/>
        <v>43.48149535074467</v>
      </c>
      <c r="F20" s="20">
        <f t="shared" si="1"/>
        <v>78.88953833746855</v>
      </c>
    </row>
    <row r="21" spans="1:6" s="3" customFormat="1" ht="15">
      <c r="A21" s="51" t="s">
        <v>13</v>
      </c>
      <c r="B21" s="11">
        <f>SUM(B15)-B16-B17-B18-B19-B20</f>
        <v>45000.49099999997</v>
      </c>
      <c r="C21" s="11">
        <f>SUM(C15)-C16-C17-C18-C19-C20</f>
        <v>23428.76099999999</v>
      </c>
      <c r="D21" s="11">
        <f>SUM(D15)-D16-D17-D18-D19-D20</f>
        <v>18765.446999999996</v>
      </c>
      <c r="E21" s="20">
        <f t="shared" si="0"/>
        <v>41.70053833412619</v>
      </c>
      <c r="F21" s="20">
        <f t="shared" si="1"/>
        <v>80.0957720299422</v>
      </c>
    </row>
    <row r="22" spans="1:6" s="3" customFormat="1" ht="15">
      <c r="A22" s="52" t="s">
        <v>14</v>
      </c>
      <c r="B22" s="25">
        <v>15049.8</v>
      </c>
      <c r="C22" s="25">
        <f>2266.006+2797.1</f>
        <v>5063.106</v>
      </c>
      <c r="D22" s="25">
        <f>1126.911+192.84</f>
        <v>1319.751</v>
      </c>
      <c r="E22" s="20">
        <f t="shared" si="0"/>
        <v>8.769226169118527</v>
      </c>
      <c r="F22" s="20">
        <f t="shared" si="1"/>
        <v>26.066035354582738</v>
      </c>
    </row>
    <row r="23" spans="1:6" s="2" customFormat="1" ht="28.5">
      <c r="A23" s="17" t="s">
        <v>26</v>
      </c>
      <c r="B23" s="18">
        <f>B24+B34</f>
        <v>686981.8130000001</v>
      </c>
      <c r="C23" s="18">
        <f>C24+C34</f>
        <v>389718.33400000003</v>
      </c>
      <c r="D23" s="18">
        <f>D24+D34</f>
        <v>375974.311</v>
      </c>
      <c r="E23" s="19">
        <f t="shared" si="0"/>
        <v>54.728422774126614</v>
      </c>
      <c r="F23" s="19">
        <f t="shared" si="1"/>
        <v>96.47334451552899</v>
      </c>
    </row>
    <row r="24" spans="1:6" s="14" customFormat="1" ht="15">
      <c r="A24" s="30" t="s">
        <v>31</v>
      </c>
      <c r="B24" s="25">
        <v>683025.077</v>
      </c>
      <c r="C24" s="25">
        <v>387362.863</v>
      </c>
      <c r="D24" s="25">
        <f>375840.297+0.893</f>
        <v>375841.19</v>
      </c>
      <c r="E24" s="20">
        <f t="shared" si="0"/>
        <v>55.025972348010875</v>
      </c>
      <c r="F24" s="20">
        <f>SUM(D24)/C24*100</f>
        <v>97.02561239072625</v>
      </c>
    </row>
    <row r="25" spans="1:6" s="3" customFormat="1" ht="15">
      <c r="A25" s="12" t="s">
        <v>1</v>
      </c>
      <c r="B25" s="11">
        <f>14660.587+636.762</f>
        <v>15297.349</v>
      </c>
      <c r="C25" s="11">
        <v>7452.004</v>
      </c>
      <c r="D25" s="11">
        <v>6392.055</v>
      </c>
      <c r="E25" s="20">
        <f t="shared" si="0"/>
        <v>41.78537732256746</v>
      </c>
      <c r="F25" s="20">
        <f t="shared" si="1"/>
        <v>85.77632271802324</v>
      </c>
    </row>
    <row r="26" spans="1:6" s="3" customFormat="1" ht="15">
      <c r="A26" s="12" t="s">
        <v>27</v>
      </c>
      <c r="B26" s="11">
        <v>3353.598</v>
      </c>
      <c r="C26" s="11">
        <v>1625.031</v>
      </c>
      <c r="D26" s="11">
        <v>1391.197</v>
      </c>
      <c r="E26" s="20">
        <f t="shared" si="0"/>
        <v>41.483713909657624</v>
      </c>
      <c r="F26" s="20">
        <f t="shared" si="1"/>
        <v>85.61048989219282</v>
      </c>
    </row>
    <row r="27" spans="1:6" s="3" customFormat="1" ht="15">
      <c r="A27" s="12" t="s">
        <v>4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" customFormat="1" ht="15">
      <c r="A28" s="12" t="s">
        <v>5</v>
      </c>
      <c r="B28" s="11">
        <v>276.527</v>
      </c>
      <c r="C28" s="11">
        <v>123.915</v>
      </c>
      <c r="D28" s="11">
        <v>122.938</v>
      </c>
      <c r="E28" s="20">
        <f t="shared" si="0"/>
        <v>44.45786487395444</v>
      </c>
      <c r="F28" s="20">
        <f t="shared" si="1"/>
        <v>99.21155630876002</v>
      </c>
    </row>
    <row r="29" spans="1:6" s="3" customFormat="1" ht="15">
      <c r="A29" s="12" t="s">
        <v>29</v>
      </c>
      <c r="B29" s="11">
        <v>1309.543</v>
      </c>
      <c r="C29" s="11">
        <v>767.483</v>
      </c>
      <c r="D29" s="11">
        <v>573.449</v>
      </c>
      <c r="E29" s="20">
        <f t="shared" si="0"/>
        <v>43.790009186410835</v>
      </c>
      <c r="F29" s="20">
        <f t="shared" si="1"/>
        <v>74.71813707925779</v>
      </c>
    </row>
    <row r="30" spans="1:6" s="3" customFormat="1" ht="15">
      <c r="A30" s="12" t="s">
        <v>13</v>
      </c>
      <c r="B30" s="11">
        <f>SUM(B24)-B25-B26-B27-B28-B29</f>
        <v>662715.4900000001</v>
      </c>
      <c r="C30" s="11">
        <f>SUM(C24)-C25-C26-C27-C28-C29</f>
        <v>377354.83</v>
      </c>
      <c r="D30" s="11">
        <f>SUM(D24)-D25-D26-D27-D28-D29</f>
        <v>367321.952</v>
      </c>
      <c r="E30" s="20">
        <f t="shared" si="0"/>
        <v>55.42679438502335</v>
      </c>
      <c r="F30" s="20">
        <f t="shared" si="1"/>
        <v>97.34126153890756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365854.668</v>
      </c>
      <c r="D31" s="11">
        <f>SUM(D32:D33)</f>
        <v>344529.86100000003</v>
      </c>
      <c r="E31" s="20">
        <f t="shared" si="0"/>
        <v>53.86647416087372</v>
      </c>
      <c r="F31" s="20">
        <f>SUM(D31)/C31*100</f>
        <v>94.17123550272701</v>
      </c>
    </row>
    <row r="32" spans="1:6" s="3" customFormat="1" ht="30">
      <c r="A32" s="13" t="s">
        <v>22</v>
      </c>
      <c r="B32" s="11">
        <v>424514.7</v>
      </c>
      <c r="C32" s="11">
        <v>218853.909</v>
      </c>
      <c r="D32" s="67">
        <v>218853.909</v>
      </c>
      <c r="E32" s="20">
        <f t="shared" si="0"/>
        <v>51.55390590714527</v>
      </c>
      <c r="F32" s="20">
        <f>SUM(D32)/C32*100</f>
        <v>100</v>
      </c>
    </row>
    <row r="33" spans="1:6" s="3" customFormat="1" ht="15">
      <c r="A33" s="13" t="s">
        <v>19</v>
      </c>
      <c r="B33" s="11">
        <v>215085.1</v>
      </c>
      <c r="C33" s="11">
        <v>147000.759</v>
      </c>
      <c r="D33" s="11">
        <v>125675.952</v>
      </c>
      <c r="E33" s="20">
        <f t="shared" si="0"/>
        <v>58.430803435477394</v>
      </c>
      <c r="F33" s="20">
        <f>SUM(D33)/C33*100</f>
        <v>85.49340347283514</v>
      </c>
    </row>
    <row r="34" spans="1:6" s="3" customFormat="1" ht="15">
      <c r="A34" s="30" t="s">
        <v>14</v>
      </c>
      <c r="B34" s="25">
        <v>3956.736</v>
      </c>
      <c r="C34" s="25">
        <f>1009.853+1345.618</f>
        <v>2355.471</v>
      </c>
      <c r="D34" s="25">
        <f>78.289+54.832</f>
        <v>133.121</v>
      </c>
      <c r="E34" s="20">
        <f t="shared" si="0"/>
        <v>3.3644145073110767</v>
      </c>
      <c r="F34" s="20">
        <f>SUM(D34)/C34*100</f>
        <v>5.651566077442686</v>
      </c>
    </row>
    <row r="35" spans="1:6" s="2" customFormat="1" ht="14.25">
      <c r="A35" s="17" t="s">
        <v>7</v>
      </c>
      <c r="B35" s="18">
        <f>B36+B41</f>
        <v>96946.568</v>
      </c>
      <c r="C35" s="18">
        <f>C36+C41</f>
        <v>53564.383</v>
      </c>
      <c r="D35" s="18">
        <f>D36+D41</f>
        <v>40813.562</v>
      </c>
      <c r="E35" s="19">
        <f t="shared" si="0"/>
        <v>42.099027167212355</v>
      </c>
      <c r="F35" s="19">
        <f>SUM(D35)/C35*100</f>
        <v>76.19533674083392</v>
      </c>
    </row>
    <row r="36" spans="1:6" s="14" customFormat="1" ht="15">
      <c r="A36" s="30" t="s">
        <v>31</v>
      </c>
      <c r="B36" s="25">
        <v>87324.4</v>
      </c>
      <c r="C36" s="25">
        <v>47075.479</v>
      </c>
      <c r="D36" s="25">
        <f>38779.333+63.192</f>
        <v>38842.525</v>
      </c>
      <c r="E36" s="20">
        <f t="shared" si="0"/>
        <v>44.480723600734734</v>
      </c>
      <c r="F36" s="20">
        <f t="shared" si="1"/>
        <v>82.51116255237679</v>
      </c>
    </row>
    <row r="37" spans="1:6" s="3" customFormat="1" ht="15">
      <c r="A37" s="12" t="s">
        <v>1</v>
      </c>
      <c r="B37" s="11">
        <v>40460.715</v>
      </c>
      <c r="C37" s="11">
        <v>21766.973</v>
      </c>
      <c r="D37" s="11">
        <v>19128.346</v>
      </c>
      <c r="E37" s="20">
        <f aca="true" t="shared" si="2" ref="E37:E68">SUM(D37)/B37*100</f>
        <v>47.27634200235958</v>
      </c>
      <c r="F37" s="20">
        <f>SUM(D37)/C37*100</f>
        <v>87.87784135166612</v>
      </c>
    </row>
    <row r="38" spans="1:6" s="3" customFormat="1" ht="15">
      <c r="A38" s="12" t="s">
        <v>27</v>
      </c>
      <c r="B38" s="11">
        <v>8901.357</v>
      </c>
      <c r="C38" s="11">
        <v>4824.604</v>
      </c>
      <c r="D38" s="11">
        <v>4215.349</v>
      </c>
      <c r="E38" s="20">
        <f t="shared" si="2"/>
        <v>47.356251412003814</v>
      </c>
      <c r="F38" s="20">
        <f t="shared" si="1"/>
        <v>87.37191694903872</v>
      </c>
    </row>
    <row r="39" spans="1:6" s="3" customFormat="1" ht="15">
      <c r="A39" s="12" t="s">
        <v>29</v>
      </c>
      <c r="B39" s="11">
        <v>6464.382</v>
      </c>
      <c r="C39" s="11">
        <v>3128.222</v>
      </c>
      <c r="D39" s="11">
        <f>2985.672+1.388</f>
        <v>2987.06</v>
      </c>
      <c r="E39" s="20">
        <f t="shared" si="2"/>
        <v>46.207974714365584</v>
      </c>
      <c r="F39" s="20">
        <f t="shared" si="1"/>
        <v>95.48746860037426</v>
      </c>
    </row>
    <row r="40" spans="1:6" s="3" customFormat="1" ht="15">
      <c r="A40" s="12" t="s">
        <v>13</v>
      </c>
      <c r="B40" s="11">
        <f>SUM(B36)-B37-B38-B39</f>
        <v>31497.945999999996</v>
      </c>
      <c r="C40" s="11">
        <f>SUM(C36)-C37-C38-C39</f>
        <v>17355.679999999997</v>
      </c>
      <c r="D40" s="11">
        <f>SUM(D36)-D37-D38-D39</f>
        <v>12511.77</v>
      </c>
      <c r="E40" s="20">
        <f t="shared" si="2"/>
        <v>39.72249492077992</v>
      </c>
      <c r="F40" s="20">
        <f t="shared" si="1"/>
        <v>72.09034736754771</v>
      </c>
    </row>
    <row r="41" spans="1:6" s="3" customFormat="1" ht="15">
      <c r="A41" s="30" t="s">
        <v>14</v>
      </c>
      <c r="B41" s="25">
        <v>9622.168</v>
      </c>
      <c r="C41" s="25">
        <f>2367.91+4120.994</f>
        <v>6488.9039999999995</v>
      </c>
      <c r="D41" s="25">
        <f>1954.391+16.646</f>
        <v>1971.037</v>
      </c>
      <c r="E41" s="20">
        <f t="shared" si="2"/>
        <v>20.48433367615282</v>
      </c>
      <c r="F41" s="20">
        <f t="shared" si="1"/>
        <v>30.375499468014937</v>
      </c>
    </row>
    <row r="42" spans="1:6" s="2" customFormat="1" ht="14.25">
      <c r="A42" s="17" t="s">
        <v>8</v>
      </c>
      <c r="B42" s="18">
        <f>B43+B48</f>
        <v>54881.755</v>
      </c>
      <c r="C42" s="18">
        <f>C43+C48</f>
        <v>29579.85</v>
      </c>
      <c r="D42" s="18">
        <f>D43+D48</f>
        <v>22525.884000000002</v>
      </c>
      <c r="E42" s="19">
        <f t="shared" si="2"/>
        <v>41.04439444401879</v>
      </c>
      <c r="F42" s="19">
        <f t="shared" si="1"/>
        <v>76.15279996348868</v>
      </c>
    </row>
    <row r="43" spans="1:6" s="14" customFormat="1" ht="15">
      <c r="A43" s="30" t="s">
        <v>31</v>
      </c>
      <c r="B43" s="25">
        <v>51249.062</v>
      </c>
      <c r="C43" s="25">
        <v>26001.157</v>
      </c>
      <c r="D43" s="25">
        <f>21394.106+0.308</f>
        <v>21394.414</v>
      </c>
      <c r="E43" s="20">
        <f t="shared" si="2"/>
        <v>41.745962101706375</v>
      </c>
      <c r="F43" s="20">
        <f t="shared" si="1"/>
        <v>82.2825461190054</v>
      </c>
    </row>
    <row r="44" spans="1:6" s="3" customFormat="1" ht="15">
      <c r="A44" s="12" t="s">
        <v>1</v>
      </c>
      <c r="B44" s="11">
        <v>24685.189</v>
      </c>
      <c r="C44" s="11">
        <v>11850.757</v>
      </c>
      <c r="D44" s="11">
        <v>10295.7</v>
      </c>
      <c r="E44" s="20">
        <f t="shared" si="2"/>
        <v>41.70800555750252</v>
      </c>
      <c r="F44" s="20">
        <f>SUM(D44)/C44*100</f>
        <v>86.87799437622424</v>
      </c>
    </row>
    <row r="45" spans="1:6" s="3" customFormat="1" ht="15">
      <c r="A45" s="12" t="s">
        <v>27</v>
      </c>
      <c r="B45" s="11">
        <v>5430.741</v>
      </c>
      <c r="C45" s="11">
        <v>2609.511</v>
      </c>
      <c r="D45" s="11">
        <v>2261.85</v>
      </c>
      <c r="E45" s="20">
        <f t="shared" si="2"/>
        <v>41.64901253806801</v>
      </c>
      <c r="F45" s="20">
        <f t="shared" si="1"/>
        <v>86.67715905393769</v>
      </c>
    </row>
    <row r="46" spans="1:6" s="3" customFormat="1" ht="15">
      <c r="A46" s="12" t="s">
        <v>29</v>
      </c>
      <c r="B46" s="11">
        <v>4194.121</v>
      </c>
      <c r="C46" s="11">
        <v>1949.844</v>
      </c>
      <c r="D46" s="11">
        <v>1748.733</v>
      </c>
      <c r="E46" s="20">
        <f t="shared" si="2"/>
        <v>41.69486288068465</v>
      </c>
      <c r="F46" s="20">
        <f t="shared" si="1"/>
        <v>89.6857902478352</v>
      </c>
    </row>
    <row r="47" spans="1:6" s="3" customFormat="1" ht="15">
      <c r="A47" s="12" t="s">
        <v>13</v>
      </c>
      <c r="B47" s="11">
        <f>SUM(B43)-B44-B45-B46</f>
        <v>16939.011</v>
      </c>
      <c r="C47" s="11">
        <f>SUM(C43)-C44-C45-C46</f>
        <v>9591.044999999998</v>
      </c>
      <c r="D47" s="11">
        <f>SUM(D43)-D44-D45-D46</f>
        <v>7088.130999999999</v>
      </c>
      <c r="E47" s="20">
        <f t="shared" si="2"/>
        <v>41.84501090411949</v>
      </c>
      <c r="F47" s="20">
        <f t="shared" si="1"/>
        <v>73.90363615226497</v>
      </c>
    </row>
    <row r="48" spans="1:6" s="3" customFormat="1" ht="15">
      <c r="A48" s="30" t="s">
        <v>14</v>
      </c>
      <c r="B48" s="25">
        <v>3632.693</v>
      </c>
      <c r="C48" s="25">
        <f>1758.148+1820.545</f>
        <v>3578.693</v>
      </c>
      <c r="D48" s="25">
        <v>1131.47</v>
      </c>
      <c r="E48" s="20">
        <f t="shared" si="2"/>
        <v>31.146865424631258</v>
      </c>
      <c r="F48" s="20">
        <f t="shared" si="1"/>
        <v>31.616850062299278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42171.949</v>
      </c>
      <c r="D49" s="18">
        <f>D50+D55</f>
        <v>33187.318999999996</v>
      </c>
      <c r="E49" s="19">
        <f t="shared" si="2"/>
        <v>36.643533406552706</v>
      </c>
      <c r="F49" s="19">
        <f t="shared" si="1"/>
        <v>78.69524597973879</v>
      </c>
    </row>
    <row r="50" spans="1:6" s="3" customFormat="1" ht="15">
      <c r="A50" s="30" t="s">
        <v>31</v>
      </c>
      <c r="B50" s="25">
        <v>82568.01</v>
      </c>
      <c r="C50" s="25">
        <v>39039.249</v>
      </c>
      <c r="D50" s="25">
        <v>32733.779</v>
      </c>
      <c r="E50" s="20">
        <f t="shared" si="2"/>
        <v>39.644626290496774</v>
      </c>
      <c r="F50" s="20">
        <f t="shared" si="1"/>
        <v>83.84838294404689</v>
      </c>
    </row>
    <row r="51" spans="1:6" s="3" customFormat="1" ht="15">
      <c r="A51" s="12" t="s">
        <v>1</v>
      </c>
      <c r="B51" s="11">
        <v>50916.2</v>
      </c>
      <c r="C51" s="11">
        <v>24030.187</v>
      </c>
      <c r="D51" s="11">
        <v>20596.118</v>
      </c>
      <c r="E51" s="20">
        <f t="shared" si="2"/>
        <v>40.45101166230001</v>
      </c>
      <c r="F51" s="20">
        <f>SUM(D51)/C51*100</f>
        <v>85.70935382234019</v>
      </c>
    </row>
    <row r="52" spans="1:6" s="3" customFormat="1" ht="15">
      <c r="A52" s="12" t="s">
        <v>27</v>
      </c>
      <c r="B52" s="11">
        <v>11270.743</v>
      </c>
      <c r="C52" s="11">
        <v>5317.002</v>
      </c>
      <c r="D52" s="11">
        <v>4523.038</v>
      </c>
      <c r="E52" s="20">
        <f t="shared" si="2"/>
        <v>40.130788183174786</v>
      </c>
      <c r="F52" s="20">
        <f t="shared" si="1"/>
        <v>85.06744966430328</v>
      </c>
    </row>
    <row r="53" spans="1:6" s="3" customFormat="1" ht="15">
      <c r="A53" s="12" t="s">
        <v>29</v>
      </c>
      <c r="B53" s="11">
        <v>4798.274</v>
      </c>
      <c r="C53" s="11">
        <v>2185.256</v>
      </c>
      <c r="D53" s="11">
        <v>2075.208</v>
      </c>
      <c r="E53" s="20">
        <f t="shared" si="2"/>
        <v>43.249051638151556</v>
      </c>
      <c r="F53" s="20">
        <f t="shared" si="1"/>
        <v>94.9640682830753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7506.804000000002</v>
      </c>
      <c r="D54" s="11">
        <f>SUM(D50)-D51-D52-D53</f>
        <v>5539.415000000001</v>
      </c>
      <c r="E54" s="20">
        <f t="shared" si="2"/>
        <v>35.54828072220431</v>
      </c>
      <c r="F54" s="20">
        <f t="shared" si="1"/>
        <v>73.79192263445269</v>
      </c>
    </row>
    <row r="55" spans="1:6" s="3" customFormat="1" ht="15">
      <c r="A55" s="30" t="s">
        <v>14</v>
      </c>
      <c r="B55" s="25">
        <v>8000</v>
      </c>
      <c r="C55" s="25">
        <f>1894.933+1237.767</f>
        <v>3132.7</v>
      </c>
      <c r="D55" s="25">
        <v>453.54</v>
      </c>
      <c r="E55" s="20">
        <f t="shared" si="2"/>
        <v>5.66925</v>
      </c>
      <c r="F55" s="20">
        <f t="shared" si="1"/>
        <v>14.47760717591854</v>
      </c>
    </row>
    <row r="56" spans="1:6" s="3" customFormat="1" ht="14.25" customHeight="1">
      <c r="A56" s="21" t="s">
        <v>9</v>
      </c>
      <c r="B56" s="22">
        <f>B57+B60</f>
        <v>306187.88399999996</v>
      </c>
      <c r="C56" s="22">
        <f>C57+C60</f>
        <v>110095.16</v>
      </c>
      <c r="D56" s="22">
        <f>D57+D60</f>
        <v>61317.088</v>
      </c>
      <c r="E56" s="19">
        <f t="shared" si="2"/>
        <v>20.025968107869353</v>
      </c>
      <c r="F56" s="19">
        <f t="shared" si="1"/>
        <v>55.69462635777994</v>
      </c>
    </row>
    <row r="57" spans="1:6" s="3" customFormat="1" ht="14.25" customHeight="1">
      <c r="A57" s="30" t="s">
        <v>31</v>
      </c>
      <c r="B57" s="25">
        <v>179378.042</v>
      </c>
      <c r="C57" s="25">
        <v>78072.11</v>
      </c>
      <c r="D57" s="25">
        <f>50444.427+1266.802</f>
        <v>51711.22900000001</v>
      </c>
      <c r="E57" s="20">
        <f t="shared" si="2"/>
        <v>28.828070829315894</v>
      </c>
      <c r="F57" s="20">
        <f t="shared" si="1"/>
        <v>66.23521382988112</v>
      </c>
    </row>
    <row r="58" spans="1:6" s="3" customFormat="1" ht="15">
      <c r="A58" s="12" t="s">
        <v>29</v>
      </c>
      <c r="B58" s="11">
        <v>20033.7</v>
      </c>
      <c r="C58" s="11">
        <v>10442.234</v>
      </c>
      <c r="D58" s="11">
        <v>9618.836</v>
      </c>
      <c r="E58" s="20">
        <f t="shared" si="2"/>
        <v>48.013277627198164</v>
      </c>
      <c r="F58" s="20">
        <f>SUM(D58)/C58*100</f>
        <v>92.1147333032376</v>
      </c>
    </row>
    <row r="59" spans="1:6" s="3" customFormat="1" ht="15">
      <c r="A59" s="12" t="s">
        <v>13</v>
      </c>
      <c r="B59" s="11">
        <f>SUM(B57)-B58</f>
        <v>159344.34199999998</v>
      </c>
      <c r="C59" s="11">
        <f>SUM(C57)-C58</f>
        <v>67629.876</v>
      </c>
      <c r="D59" s="11">
        <f>SUM(D57)-D58</f>
        <v>42092.39300000001</v>
      </c>
      <c r="E59" s="20">
        <f t="shared" si="2"/>
        <v>26.415994739242148</v>
      </c>
      <c r="F59" s="20">
        <f t="shared" si="1"/>
        <v>62.2393467052934</v>
      </c>
    </row>
    <row r="60" spans="1:6" s="3" customFormat="1" ht="15">
      <c r="A60" s="30" t="s">
        <v>14</v>
      </c>
      <c r="B60" s="25">
        <f>2465+124344.842</f>
        <v>126809.842</v>
      </c>
      <c r="C60" s="25">
        <f>2465+2500+35+12488.286+14534.764</f>
        <v>32023.05</v>
      </c>
      <c r="D60" s="25">
        <v>9605.859</v>
      </c>
      <c r="E60" s="20">
        <f t="shared" si="2"/>
        <v>7.575010621021041</v>
      </c>
      <c r="F60" s="20">
        <f t="shared" si="1"/>
        <v>29.99670237532028</v>
      </c>
    </row>
    <row r="61" spans="1:6" s="3" customFormat="1" ht="17.25" customHeight="1">
      <c r="A61" s="21" t="s">
        <v>21</v>
      </c>
      <c r="B61" s="22">
        <f>SUM(B62)</f>
        <v>97322.069</v>
      </c>
      <c r="C61" s="22">
        <f>SUM(C62)</f>
        <v>32655.587</v>
      </c>
      <c r="D61" s="22">
        <f>SUM(D62)</f>
        <v>6439.518</v>
      </c>
      <c r="E61" s="20">
        <f t="shared" si="2"/>
        <v>6.616708898780193</v>
      </c>
      <c r="F61" s="20">
        <f t="shared" si="1"/>
        <v>19.71949853481427</v>
      </c>
    </row>
    <row r="62" spans="1:6" s="3" customFormat="1" ht="15">
      <c r="A62" s="30" t="s">
        <v>14</v>
      </c>
      <c r="B62" s="25">
        <v>97322.069</v>
      </c>
      <c r="C62" s="25">
        <f>14666.272+17989.315</f>
        <v>32655.587</v>
      </c>
      <c r="D62" s="25">
        <f>6411.318+28.2</f>
        <v>6439.518</v>
      </c>
      <c r="E62" s="20">
        <f t="shared" si="2"/>
        <v>6.616708898780193</v>
      </c>
      <c r="F62" s="20">
        <f t="shared" si="1"/>
        <v>19.71949853481427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2"/>
        <v>1.3224750419468196</v>
      </c>
      <c r="F63" s="19">
        <f t="shared" si="1"/>
        <v>2.9356910017280304</v>
      </c>
    </row>
    <row r="64" spans="1:6" s="3" customFormat="1" ht="15">
      <c r="A64" s="30" t="s">
        <v>13</v>
      </c>
      <c r="B64" s="25">
        <v>82070.117</v>
      </c>
      <c r="C64" s="25">
        <v>47146.367</v>
      </c>
      <c r="D64" s="25">
        <v>38916.073</v>
      </c>
      <c r="E64" s="20">
        <f t="shared" si="2"/>
        <v>47.41807910423717</v>
      </c>
      <c r="F64" s="20">
        <f t="shared" si="1"/>
        <v>82.54310029869322</v>
      </c>
    </row>
    <row r="65" spans="1:6" s="3" customFormat="1" ht="15">
      <c r="A65" s="30" t="s">
        <v>14</v>
      </c>
      <c r="B65" s="25">
        <v>110870.613</v>
      </c>
      <c r="C65" s="25">
        <f>12769.899+27000</f>
        <v>39769.899</v>
      </c>
      <c r="D65" s="25">
        <v>13717.157</v>
      </c>
      <c r="E65" s="20">
        <f t="shared" si="2"/>
        <v>12.372220761510535</v>
      </c>
      <c r="F65" s="20">
        <f t="shared" si="1"/>
        <v>34.491304591947795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1113</v>
      </c>
      <c r="D66" s="22">
        <f>SUM(D67:D67)</f>
        <v>1112.871</v>
      </c>
      <c r="E66" s="19">
        <f t="shared" si="2"/>
        <v>16.128565217391305</v>
      </c>
      <c r="F66" s="19">
        <f t="shared" si="1"/>
        <v>99.98840970350406</v>
      </c>
    </row>
    <row r="67" spans="1:6" s="3" customFormat="1" ht="15">
      <c r="A67" s="30" t="s">
        <v>14</v>
      </c>
      <c r="B67" s="25">
        <v>6900</v>
      </c>
      <c r="C67" s="25">
        <f>300+813</f>
        <v>1113</v>
      </c>
      <c r="D67" s="25">
        <v>1112.871</v>
      </c>
      <c r="E67" s="20">
        <f t="shared" si="2"/>
        <v>16.128565217391305</v>
      </c>
      <c r="F67" s="20">
        <f t="shared" si="1"/>
        <v>99.98840970350406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4573.131</v>
      </c>
      <c r="D68" s="18">
        <f>SUM(D69)+D72</f>
        <v>2462.782</v>
      </c>
      <c r="E68" s="19">
        <f t="shared" si="2"/>
        <v>25.85326474910771</v>
      </c>
      <c r="F68" s="19">
        <f t="shared" si="1"/>
        <v>53.85330094414527</v>
      </c>
    </row>
    <row r="69" spans="1:6" s="3" customFormat="1" ht="15">
      <c r="A69" s="30" t="s">
        <v>31</v>
      </c>
      <c r="B69" s="25">
        <v>8800.034</v>
      </c>
      <c r="C69" s="25">
        <v>4573.131</v>
      </c>
      <c r="D69" s="25">
        <v>2462.782</v>
      </c>
      <c r="E69" s="20">
        <f aca="true" t="shared" si="3" ref="E69:E90">SUM(D69)/B69*100</f>
        <v>27.98605096298492</v>
      </c>
      <c r="F69" s="20">
        <f t="shared" si="1"/>
        <v>53.85330094414527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4561.991</v>
      </c>
      <c r="D71" s="11">
        <f>SUM(D69)-D70</f>
        <v>2461.385</v>
      </c>
      <c r="E71" s="19">
        <f t="shared" si="3"/>
        <v>28.01779335368451</v>
      </c>
      <c r="F71" s="19">
        <f t="shared" si="1"/>
        <v>53.95418360097598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1670</v>
      </c>
      <c r="C73" s="18"/>
      <c r="D73" s="18"/>
      <c r="E73" s="20">
        <f t="shared" si="3"/>
        <v>0</v>
      </c>
      <c r="F73" s="20" t="e">
        <f t="shared" si="1"/>
        <v>#DIV/0!</v>
      </c>
    </row>
    <row r="74" spans="1:6" s="2" customFormat="1" ht="15">
      <c r="A74" s="23" t="s">
        <v>12</v>
      </c>
      <c r="B74" s="18">
        <v>37806.6</v>
      </c>
      <c r="C74" s="18">
        <v>18903.6</v>
      </c>
      <c r="D74" s="18">
        <v>17853.4</v>
      </c>
      <c r="E74" s="20">
        <f t="shared" si="3"/>
        <v>47.22297165045257</v>
      </c>
      <c r="F74" s="20">
        <f aca="true" t="shared" si="4" ref="F74:F90">SUM(D74)/C74*100</f>
        <v>94.44444444444446</v>
      </c>
    </row>
    <row r="75" spans="1:6" s="2" customFormat="1" ht="15">
      <c r="A75" s="17" t="s">
        <v>17</v>
      </c>
      <c r="B75" s="18">
        <f>SUM(B76)+B80</f>
        <v>16607.913</v>
      </c>
      <c r="C75" s="18">
        <f>SUM(C76)+C80</f>
        <v>10938.661</v>
      </c>
      <c r="D75" s="18">
        <f>SUM(D76)+D80</f>
        <v>1354.499</v>
      </c>
      <c r="E75" s="20">
        <f t="shared" si="3"/>
        <v>8.155744794665049</v>
      </c>
      <c r="F75" s="20">
        <f t="shared" si="4"/>
        <v>12.382676453726832</v>
      </c>
    </row>
    <row r="76" spans="1:6" s="2" customFormat="1" ht="15">
      <c r="A76" s="30" t="s">
        <v>31</v>
      </c>
      <c r="B76" s="25">
        <f>11077.904+196.033</f>
        <v>11273.937</v>
      </c>
      <c r="C76" s="25">
        <v>8484.475</v>
      </c>
      <c r="D76" s="25">
        <f>218.769+36+53.875+653.87-572.473+15.001+15.946+29.534+90.001+103.336+122.519+94.84+71.79+421.491</f>
        <v>1354.499</v>
      </c>
      <c r="E76" s="19">
        <f t="shared" si="3"/>
        <v>12.014427612998015</v>
      </c>
      <c r="F76" s="20">
        <f t="shared" si="4"/>
        <v>15.964440934766147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11273.937</v>
      </c>
      <c r="C79" s="11">
        <f>SUM(C76)-C77-C78</f>
        <v>8484.475</v>
      </c>
      <c r="D79" s="11">
        <f>SUM(D76)-D77-D78</f>
        <v>1354.499</v>
      </c>
      <c r="E79" s="20">
        <f t="shared" si="3"/>
        <v>12.014427612998015</v>
      </c>
      <c r="F79" s="20">
        <f>SUM(D79)/C79*100</f>
        <v>15.964440934766147</v>
      </c>
    </row>
    <row r="80" spans="1:6" s="3" customFormat="1" ht="15">
      <c r="A80" s="30" t="s">
        <v>14</v>
      </c>
      <c r="B80" s="25">
        <v>5333.976</v>
      </c>
      <c r="C80" s="25">
        <v>2454.186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3"/>
        <v>53.085600530856006</v>
      </c>
      <c r="F81" s="20">
        <f t="shared" si="4"/>
        <v>53.192904066597514</v>
      </c>
    </row>
    <row r="82" spans="1:12" s="9" customFormat="1" ht="15.75">
      <c r="A82" s="27" t="s">
        <v>25</v>
      </c>
      <c r="B82" s="28">
        <f>B5+B14+B23+B35+B42+B49+B56+B61+B63+B66+B68+B73+B74+B75+B81</f>
        <v>2727923.162</v>
      </c>
      <c r="C82" s="28">
        <f>C5+C14+C23+C35+C42+C49+C56+C61+C63+C66+C68+C73+C74+C75+C81</f>
        <v>1390480.7530000005</v>
      </c>
      <c r="D82" s="28">
        <f>D5+D14+D23+D35+D42+D49+D56+D61+D63+D66+D68+D73+D74+D75+D81</f>
        <v>1070092.2610000002</v>
      </c>
      <c r="E82" s="20">
        <f t="shared" si="3"/>
        <v>39.227360796168945</v>
      </c>
      <c r="F82" s="20">
        <f t="shared" si="4"/>
        <v>76.95843748223388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2286234.51</v>
      </c>
      <c r="C83" s="28">
        <f>C6+C15+C24+C36+C43+C50+C57+C64+C69+C76+C74</f>
        <v>1233795.4290000005</v>
      </c>
      <c r="D83" s="28">
        <f>D6+D15+D24+D36+D43+D50+D57+D64+D69+D76+D74</f>
        <v>1070235.821</v>
      </c>
      <c r="E83" s="20">
        <f t="shared" si="3"/>
        <v>46.81216280826765</v>
      </c>
      <c r="F83" s="20">
        <f t="shared" si="4"/>
        <v>86.74337704974587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408636.55299999996</v>
      </c>
      <c r="D84" s="22">
        <f t="shared" si="5"/>
        <v>353383.27200000006</v>
      </c>
      <c r="E84" s="19">
        <f t="shared" si="3"/>
        <v>46.825777909387334</v>
      </c>
      <c r="F84" s="19">
        <f t="shared" si="4"/>
        <v>86.4786249310399</v>
      </c>
    </row>
    <row r="85" spans="1:6" ht="15">
      <c r="A85" s="29" t="s">
        <v>28</v>
      </c>
      <c r="B85" s="22">
        <f t="shared" si="5"/>
        <v>166063.64299999998</v>
      </c>
      <c r="C85" s="22">
        <f t="shared" si="5"/>
        <v>90203.389</v>
      </c>
      <c r="D85" s="22">
        <f t="shared" si="5"/>
        <v>77924.93200000002</v>
      </c>
      <c r="E85" s="19">
        <f t="shared" si="3"/>
        <v>46.924739571081204</v>
      </c>
      <c r="F85" s="19">
        <f t="shared" si="4"/>
        <v>86.388031385384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85888.71899999997</v>
      </c>
      <c r="D86" s="22">
        <f>D70+D11+D20+D29+D39+D46+D53+D58</f>
        <v>75764.53099999999</v>
      </c>
      <c r="E86" s="19">
        <f t="shared" si="3"/>
        <v>45.729187906038774</v>
      </c>
      <c r="F86" s="19">
        <f>SUM(D86)/C86*100</f>
        <v>88.21243567505066</v>
      </c>
    </row>
    <row r="87" spans="1:6" ht="15">
      <c r="A87" s="29" t="s">
        <v>13</v>
      </c>
      <c r="B87" s="22">
        <f>B83-B84-B85-B86</f>
        <v>1199813.187</v>
      </c>
      <c r="C87" s="22">
        <f>C83-C84-C85-C86</f>
        <v>649066.7680000006</v>
      </c>
      <c r="D87" s="22">
        <f>D83-D84-D85-D86</f>
        <v>563163.0859999999</v>
      </c>
      <c r="E87" s="19">
        <f t="shared" si="3"/>
        <v>46.93756428933131</v>
      </c>
      <c r="F87" s="19">
        <f t="shared" si="4"/>
        <v>86.76504695122512</v>
      </c>
    </row>
    <row r="88" spans="1:6" ht="20.25" customHeight="1">
      <c r="A88" s="17" t="s">
        <v>14</v>
      </c>
      <c r="B88" s="18">
        <f>B13+B22+B41+B34+B55+B60+B62+B65+B67+B72+B80+B48</f>
        <v>424948.65200000006</v>
      </c>
      <c r="C88" s="18">
        <f>C13+C22+C41+C34+C55+C60+C62+C65+C67+C72+C80+C48</f>
        <v>141645.724</v>
      </c>
      <c r="D88" s="18">
        <f>D13+D22+D41+D34+D55+D60+D62+D65+D67+D72+D80+D48</f>
        <v>41938.077000000005</v>
      </c>
      <c r="E88" s="19">
        <f t="shared" si="3"/>
        <v>9.86897518150028</v>
      </c>
      <c r="F88" s="19">
        <f t="shared" si="4"/>
        <v>29.607725398050142</v>
      </c>
    </row>
    <row r="89" spans="1:6" ht="15">
      <c r="A89" s="17" t="s">
        <v>24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3"/>
        <v>53.085600530856006</v>
      </c>
      <c r="F89" s="19">
        <f t="shared" si="4"/>
        <v>53.192904066597514</v>
      </c>
    </row>
    <row r="90" spans="1:6" ht="15">
      <c r="A90" s="17" t="s">
        <v>30</v>
      </c>
      <c r="B90" s="18">
        <f>SUM(B73)</f>
        <v>1670</v>
      </c>
      <c r="C90" s="18">
        <f>SUM(C73)</f>
        <v>0</v>
      </c>
      <c r="D90" s="18"/>
      <c r="E90" s="19">
        <f t="shared" si="3"/>
        <v>0</v>
      </c>
      <c r="F90" s="19" t="e">
        <f t="shared" si="4"/>
        <v>#DIV/0!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71</v>
      </c>
      <c r="D3" s="71" t="s">
        <v>74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724626.208</v>
      </c>
      <c r="C5" s="18">
        <f>C6+C13</f>
        <v>403779.042</v>
      </c>
      <c r="D5" s="18">
        <f>D6+D13</f>
        <v>339979.118</v>
      </c>
      <c r="E5" s="19">
        <f aca="true" t="shared" si="0" ref="E5:E68">SUM(D5)/B5*100</f>
        <v>46.9178611326186</v>
      </c>
      <c r="F5" s="19">
        <f>SUM(D5)/C5*100</f>
        <v>84.19929779317273</v>
      </c>
    </row>
    <row r="6" spans="1:6" s="37" customFormat="1" ht="15">
      <c r="A6" s="36" t="s">
        <v>34</v>
      </c>
      <c r="B6" s="25">
        <v>687901.419</v>
      </c>
      <c r="C6" s="25">
        <v>390767.914</v>
      </c>
      <c r="D6" s="25">
        <f>333092.081+833.284</f>
        <v>333925.365</v>
      </c>
      <c r="E6" s="20">
        <f t="shared" si="0"/>
        <v>48.54261901151857</v>
      </c>
      <c r="F6" s="20">
        <f>SUM(D6)/C6*100</f>
        <v>85.45362938882438</v>
      </c>
    </row>
    <row r="7" spans="1:6" s="37" customFormat="1" ht="15">
      <c r="A7" s="38" t="s">
        <v>35</v>
      </c>
      <c r="B7" s="11">
        <v>401715.273</v>
      </c>
      <c r="C7" s="11">
        <v>236982.495</v>
      </c>
      <c r="D7" s="11">
        <v>205770.238</v>
      </c>
      <c r="E7" s="20">
        <f t="shared" si="0"/>
        <v>51.22290632947879</v>
      </c>
      <c r="F7" s="20">
        <f aca="true" t="shared" si="1" ref="F7:F73">SUM(D7)/C7*100</f>
        <v>86.82929851000178</v>
      </c>
    </row>
    <row r="8" spans="1:6" s="37" customFormat="1" ht="15">
      <c r="A8" s="38" t="s">
        <v>36</v>
      </c>
      <c r="B8" s="11">
        <v>88410.024</v>
      </c>
      <c r="C8" s="11">
        <v>52431.073</v>
      </c>
      <c r="D8" s="11">
        <v>45680.232</v>
      </c>
      <c r="E8" s="20">
        <f t="shared" si="0"/>
        <v>51.66861169498156</v>
      </c>
      <c r="F8" s="20">
        <f t="shared" si="1"/>
        <v>87.1243508596515</v>
      </c>
    </row>
    <row r="9" spans="1:6" s="37" customFormat="1" ht="15">
      <c r="A9" s="38" t="s">
        <v>37</v>
      </c>
      <c r="B9" s="11">
        <v>153.271</v>
      </c>
      <c r="C9" s="11">
        <v>19.152</v>
      </c>
      <c r="D9" s="11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11">
        <v>47933.507</v>
      </c>
      <c r="C10" s="11">
        <v>22205.705</v>
      </c>
      <c r="D10" s="11">
        <f>18210.496+68.018</f>
        <v>18278.514</v>
      </c>
      <c r="E10" s="20">
        <f t="shared" si="0"/>
        <v>38.13306211873878</v>
      </c>
      <c r="F10" s="20">
        <f t="shared" si="1"/>
        <v>82.31449530649893</v>
      </c>
    </row>
    <row r="11" spans="1:6" s="37" customFormat="1" ht="30">
      <c r="A11" s="38" t="s">
        <v>39</v>
      </c>
      <c r="B11" s="11">
        <v>92734.871</v>
      </c>
      <c r="C11" s="11">
        <v>47490.21</v>
      </c>
      <c r="D11" s="11">
        <f>43045.485+4.04</f>
        <v>43049.525</v>
      </c>
      <c r="E11" s="20">
        <f t="shared" si="0"/>
        <v>46.42215440187543</v>
      </c>
      <c r="F11" s="20">
        <f t="shared" si="1"/>
        <v>90.64926223741693</v>
      </c>
    </row>
    <row r="12" spans="1:6" s="37" customFormat="1" ht="15">
      <c r="A12" s="38" t="s">
        <v>40</v>
      </c>
      <c r="B12" s="11">
        <f>SUM(B6)-B7-B8-B9-B10-B11</f>
        <v>56954.47299999998</v>
      </c>
      <c r="C12" s="11">
        <f>SUM(C6)-C7-C8-C9-C10-C11</f>
        <v>31639.278999999988</v>
      </c>
      <c r="D12" s="11">
        <f>SUM(D6)-D7-D8-D9-D10-D11</f>
        <v>21132.652999999984</v>
      </c>
      <c r="E12" s="20">
        <f t="shared" si="0"/>
        <v>37.104465877508844</v>
      </c>
      <c r="F12" s="20">
        <f t="shared" si="1"/>
        <v>66.7924607257959</v>
      </c>
    </row>
    <row r="13" spans="1:6" s="37" customFormat="1" ht="15">
      <c r="A13" s="36" t="s">
        <v>41</v>
      </c>
      <c r="B13" s="25">
        <v>36724.789</v>
      </c>
      <c r="C13" s="25">
        <f>7.5+10201.564+2802.064</f>
        <v>13011.128</v>
      </c>
      <c r="D13" s="25">
        <f>5983.753+70</f>
        <v>6053.753</v>
      </c>
      <c r="E13" s="20">
        <f t="shared" si="0"/>
        <v>16.484105599626456</v>
      </c>
      <c r="F13" s="20">
        <f t="shared" si="1"/>
        <v>46.52750322646891</v>
      </c>
    </row>
    <row r="14" spans="1:6" s="35" customFormat="1" ht="14.25">
      <c r="A14" s="34" t="s">
        <v>42</v>
      </c>
      <c r="B14" s="18">
        <f>B15+B22</f>
        <v>389887.61199999996</v>
      </c>
      <c r="C14" s="18">
        <f>C15+C22</f>
        <v>191432.19</v>
      </c>
      <c r="D14" s="18">
        <f>D15+D22</f>
        <v>156520.316</v>
      </c>
      <c r="E14" s="19">
        <f t="shared" si="0"/>
        <v>40.1449831137492</v>
      </c>
      <c r="F14" s="19">
        <f t="shared" si="1"/>
        <v>81.76279861814253</v>
      </c>
    </row>
    <row r="15" spans="1:6" s="37" customFormat="1" ht="15">
      <c r="A15" s="36" t="s">
        <v>43</v>
      </c>
      <c r="B15" s="25">
        <f>349566.812+25271</f>
        <v>374837.812</v>
      </c>
      <c r="C15" s="25">
        <f>173753.884+12615.2</f>
        <v>186369.084</v>
      </c>
      <c r="D15" s="25">
        <f>143640.015+11560.55</f>
        <v>155200.565</v>
      </c>
      <c r="E15" s="20">
        <f t="shared" si="0"/>
        <v>41.40472493207275</v>
      </c>
      <c r="F15" s="20">
        <f>SUM(D15)/C15*100</f>
        <v>83.27591769458931</v>
      </c>
    </row>
    <row r="16" spans="1:6" s="37" customFormat="1" ht="15">
      <c r="A16" s="38" t="s">
        <v>35</v>
      </c>
      <c r="B16" s="11">
        <v>221602.052</v>
      </c>
      <c r="C16" s="11">
        <v>106554.137</v>
      </c>
      <c r="D16" s="11">
        <v>91200.815</v>
      </c>
      <c r="E16" s="20">
        <f t="shared" si="0"/>
        <v>41.15522134244497</v>
      </c>
      <c r="F16" s="20">
        <f t="shared" si="1"/>
        <v>85.59105968827846</v>
      </c>
    </row>
    <row r="17" spans="1:6" s="37" customFormat="1" ht="15">
      <c r="A17" s="38" t="s">
        <v>36</v>
      </c>
      <c r="B17" s="11">
        <v>48697.18</v>
      </c>
      <c r="C17" s="11">
        <v>23396.168</v>
      </c>
      <c r="D17" s="11">
        <v>19853.266</v>
      </c>
      <c r="E17" s="20">
        <f t="shared" si="0"/>
        <v>40.76882069967912</v>
      </c>
      <c r="F17" s="20">
        <f t="shared" si="1"/>
        <v>84.85691332016422</v>
      </c>
    </row>
    <row r="18" spans="1:6" s="37" customFormat="1" ht="15">
      <c r="A18" s="38" t="s">
        <v>37</v>
      </c>
      <c r="B18" s="11">
        <v>16661.29</v>
      </c>
      <c r="C18" s="11">
        <v>9051.229</v>
      </c>
      <c r="D18" s="11">
        <f>6882.554+245.317</f>
        <v>7127.871</v>
      </c>
      <c r="E18" s="20">
        <f t="shared" si="0"/>
        <v>42.78102715936161</v>
      </c>
      <c r="F18" s="20">
        <f t="shared" si="1"/>
        <v>78.7503111455914</v>
      </c>
    </row>
    <row r="19" spans="1:6" s="37" customFormat="1" ht="15">
      <c r="A19" s="38" t="s">
        <v>38</v>
      </c>
      <c r="B19" s="11">
        <v>6745.744</v>
      </c>
      <c r="C19" s="11">
        <v>4024.459</v>
      </c>
      <c r="D19" s="11">
        <f>2473.257+69.586</f>
        <v>2542.843</v>
      </c>
      <c r="E19" s="20">
        <f t="shared" si="0"/>
        <v>37.69551586896864</v>
      </c>
      <c r="F19" s="20">
        <f t="shared" si="1"/>
        <v>63.184716256271955</v>
      </c>
    </row>
    <row r="20" spans="1:6" s="37" customFormat="1" ht="30">
      <c r="A20" s="38" t="s">
        <v>39</v>
      </c>
      <c r="B20" s="11">
        <v>36131.055</v>
      </c>
      <c r="C20" s="11">
        <v>19914.33</v>
      </c>
      <c r="D20" s="11">
        <f>15701.697+8.626</f>
        <v>15710.323</v>
      </c>
      <c r="E20" s="20">
        <f t="shared" si="0"/>
        <v>43.48149535074467</v>
      </c>
      <c r="F20" s="20">
        <f t="shared" si="1"/>
        <v>78.88953833746855</v>
      </c>
    </row>
    <row r="21" spans="1:6" s="37" customFormat="1" ht="15">
      <c r="A21" s="38" t="s">
        <v>40</v>
      </c>
      <c r="B21" s="11">
        <f>SUM(B15)-B16-B17-B18-B19-B20</f>
        <v>45000.49099999997</v>
      </c>
      <c r="C21" s="11">
        <f>SUM(C15)-C16-C17-C18-C19-C20</f>
        <v>23428.76099999999</v>
      </c>
      <c r="D21" s="11">
        <f>SUM(D15)-D16-D17-D18-D19-D20</f>
        <v>18765.446999999996</v>
      </c>
      <c r="E21" s="20">
        <f t="shared" si="0"/>
        <v>41.70053833412619</v>
      </c>
      <c r="F21" s="20">
        <f t="shared" si="1"/>
        <v>80.0957720299422</v>
      </c>
    </row>
    <row r="22" spans="1:6" s="37" customFormat="1" ht="15">
      <c r="A22" s="36" t="s">
        <v>41</v>
      </c>
      <c r="B22" s="25">
        <v>15049.8</v>
      </c>
      <c r="C22" s="25">
        <f>2266.006+2797.1</f>
        <v>5063.106</v>
      </c>
      <c r="D22" s="25">
        <f>1126.911+192.84</f>
        <v>1319.751</v>
      </c>
      <c r="E22" s="20">
        <f t="shared" si="0"/>
        <v>8.769226169118527</v>
      </c>
      <c r="F22" s="20">
        <f t="shared" si="1"/>
        <v>26.066035354582738</v>
      </c>
    </row>
    <row r="23" spans="1:6" s="35" customFormat="1" ht="28.5">
      <c r="A23" s="34" t="s">
        <v>59</v>
      </c>
      <c r="B23" s="18">
        <f>B24+B34</f>
        <v>686981.8130000001</v>
      </c>
      <c r="C23" s="18">
        <f>C24+C34</f>
        <v>389718.33400000003</v>
      </c>
      <c r="D23" s="18">
        <f>D24+D34</f>
        <v>375974.311</v>
      </c>
      <c r="E23" s="19">
        <f t="shared" si="0"/>
        <v>54.728422774126614</v>
      </c>
      <c r="F23" s="19">
        <f t="shared" si="1"/>
        <v>96.47334451552899</v>
      </c>
    </row>
    <row r="24" spans="1:6" s="37" customFormat="1" ht="15">
      <c r="A24" s="36" t="s">
        <v>43</v>
      </c>
      <c r="B24" s="25">
        <v>683025.077</v>
      </c>
      <c r="C24" s="25">
        <v>387362.863</v>
      </c>
      <c r="D24" s="25">
        <f>375840.297+0.893</f>
        <v>375841.19</v>
      </c>
      <c r="E24" s="20">
        <f t="shared" si="0"/>
        <v>55.025972348010875</v>
      </c>
      <c r="F24" s="20">
        <f>SUM(D24)/C24*100</f>
        <v>97.02561239072625</v>
      </c>
    </row>
    <row r="25" spans="1:6" s="37" customFormat="1" ht="15">
      <c r="A25" s="38" t="s">
        <v>35</v>
      </c>
      <c r="B25" s="11">
        <f>14660.587+636.762</f>
        <v>15297.349</v>
      </c>
      <c r="C25" s="11">
        <v>7452.004</v>
      </c>
      <c r="D25" s="11">
        <v>6392.055</v>
      </c>
      <c r="E25" s="20">
        <f t="shared" si="0"/>
        <v>41.78537732256746</v>
      </c>
      <c r="F25" s="20">
        <f t="shared" si="1"/>
        <v>85.77632271802324</v>
      </c>
    </row>
    <row r="26" spans="1:6" s="37" customFormat="1" ht="15">
      <c r="A26" s="38" t="s">
        <v>36</v>
      </c>
      <c r="B26" s="11">
        <v>3353.598</v>
      </c>
      <c r="C26" s="11">
        <v>1625.031</v>
      </c>
      <c r="D26" s="11">
        <v>1391.197</v>
      </c>
      <c r="E26" s="20">
        <f t="shared" si="0"/>
        <v>41.483713909657624</v>
      </c>
      <c r="F26" s="20">
        <f t="shared" si="1"/>
        <v>85.61048989219282</v>
      </c>
    </row>
    <row r="27" spans="1:6" s="37" customFormat="1" ht="15">
      <c r="A27" s="38" t="s">
        <v>37</v>
      </c>
      <c r="B27" s="11">
        <v>72.57</v>
      </c>
      <c r="C27" s="11">
        <v>39.6</v>
      </c>
      <c r="D27" s="11">
        <v>39.599</v>
      </c>
      <c r="E27" s="20">
        <f t="shared" si="0"/>
        <v>54.56662532727022</v>
      </c>
      <c r="F27" s="20">
        <f t="shared" si="1"/>
        <v>99.99747474747474</v>
      </c>
    </row>
    <row r="28" spans="1:6" s="37" customFormat="1" ht="15">
      <c r="A28" s="38" t="s">
        <v>38</v>
      </c>
      <c r="B28" s="11">
        <v>276.527</v>
      </c>
      <c r="C28" s="11">
        <v>123.915</v>
      </c>
      <c r="D28" s="11">
        <v>122.938</v>
      </c>
      <c r="E28" s="20">
        <f t="shared" si="0"/>
        <v>44.45786487395444</v>
      </c>
      <c r="F28" s="20">
        <f t="shared" si="1"/>
        <v>99.21155630876002</v>
      </c>
    </row>
    <row r="29" spans="1:6" s="37" customFormat="1" ht="30">
      <c r="A29" s="38" t="s">
        <v>39</v>
      </c>
      <c r="B29" s="11">
        <v>1309.543</v>
      </c>
      <c r="C29" s="11">
        <v>767.483</v>
      </c>
      <c r="D29" s="11">
        <v>573.449</v>
      </c>
      <c r="E29" s="20">
        <f t="shared" si="0"/>
        <v>43.790009186410835</v>
      </c>
      <c r="F29" s="20">
        <f t="shared" si="1"/>
        <v>74.71813707925779</v>
      </c>
    </row>
    <row r="30" spans="1:6" s="37" customFormat="1" ht="15">
      <c r="A30" s="38" t="s">
        <v>40</v>
      </c>
      <c r="B30" s="11">
        <f>SUM(B24)-B25-B26-B27-B28-B29</f>
        <v>662715.4900000001</v>
      </c>
      <c r="C30" s="11">
        <f>SUM(C24)-C25-C26-C27-C28-C29</f>
        <v>377354.83</v>
      </c>
      <c r="D30" s="11">
        <f>SUM(D24)-D25-D26-D27-D28-D29</f>
        <v>367321.952</v>
      </c>
      <c r="E30" s="20">
        <f t="shared" si="0"/>
        <v>55.42679438502335</v>
      </c>
      <c r="F30" s="20">
        <f t="shared" si="1"/>
        <v>97.34126153890756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365854.668</v>
      </c>
      <c r="D31" s="11">
        <f>SUM(D32:D33)</f>
        <v>344529.86100000003</v>
      </c>
      <c r="E31" s="20">
        <f t="shared" si="0"/>
        <v>53.86647416087372</v>
      </c>
      <c r="F31" s="20">
        <f>SUM(D31)/C31*100</f>
        <v>94.17123550272701</v>
      </c>
    </row>
    <row r="32" spans="1:6" s="37" customFormat="1" ht="30">
      <c r="A32" s="39" t="s">
        <v>63</v>
      </c>
      <c r="B32" s="11">
        <v>424514.7</v>
      </c>
      <c r="C32" s="11">
        <v>218853.909</v>
      </c>
      <c r="D32" s="67">
        <v>218853.909</v>
      </c>
      <c r="E32" s="20">
        <f t="shared" si="0"/>
        <v>51.55390590714527</v>
      </c>
      <c r="F32" s="20">
        <f>SUM(D32)/C32*100</f>
        <v>100</v>
      </c>
    </row>
    <row r="33" spans="1:6" s="37" customFormat="1" ht="15">
      <c r="A33" s="39" t="s">
        <v>60</v>
      </c>
      <c r="B33" s="11">
        <v>215085.1</v>
      </c>
      <c r="C33" s="11">
        <v>147000.759</v>
      </c>
      <c r="D33" s="11">
        <v>125675.952</v>
      </c>
      <c r="E33" s="20">
        <f t="shared" si="0"/>
        <v>58.430803435477394</v>
      </c>
      <c r="F33" s="20">
        <f>SUM(D33)/C33*100</f>
        <v>85.49340347283514</v>
      </c>
    </row>
    <row r="34" spans="1:6" s="37" customFormat="1" ht="15">
      <c r="A34" s="36" t="s">
        <v>41</v>
      </c>
      <c r="B34" s="25">
        <v>3956.736</v>
      </c>
      <c r="C34" s="25">
        <f>1009.853+1345.618</f>
        <v>2355.471</v>
      </c>
      <c r="D34" s="25">
        <f>78.289+54.832</f>
        <v>133.121</v>
      </c>
      <c r="E34" s="20">
        <f t="shared" si="0"/>
        <v>3.3644145073110767</v>
      </c>
      <c r="F34" s="20">
        <f>SUM(D34)/C34*100</f>
        <v>5.651566077442686</v>
      </c>
    </row>
    <row r="35" spans="1:6" s="35" customFormat="1" ht="14.25">
      <c r="A35" s="34" t="s">
        <v>61</v>
      </c>
      <c r="B35" s="18">
        <f>B36+B41</f>
        <v>96946.568</v>
      </c>
      <c r="C35" s="18">
        <f>C36+C41</f>
        <v>53564.383</v>
      </c>
      <c r="D35" s="18">
        <f>D36+D41</f>
        <v>40813.562</v>
      </c>
      <c r="E35" s="19">
        <f t="shared" si="0"/>
        <v>42.099027167212355</v>
      </c>
      <c r="F35" s="19">
        <f>SUM(D35)/C35*100</f>
        <v>76.19533674083392</v>
      </c>
    </row>
    <row r="36" spans="1:6" s="37" customFormat="1" ht="15">
      <c r="A36" s="36" t="s">
        <v>43</v>
      </c>
      <c r="B36" s="25">
        <v>87324.4</v>
      </c>
      <c r="C36" s="25">
        <v>47075.479</v>
      </c>
      <c r="D36" s="25">
        <f>38779.333+63.192</f>
        <v>38842.525</v>
      </c>
      <c r="E36" s="20">
        <f t="shared" si="0"/>
        <v>44.480723600734734</v>
      </c>
      <c r="F36" s="20">
        <f t="shared" si="1"/>
        <v>82.51116255237679</v>
      </c>
    </row>
    <row r="37" spans="1:6" s="37" customFormat="1" ht="15">
      <c r="A37" s="38" t="s">
        <v>35</v>
      </c>
      <c r="B37" s="11">
        <v>40460.715</v>
      </c>
      <c r="C37" s="11">
        <v>21766.973</v>
      </c>
      <c r="D37" s="11">
        <v>19128.346</v>
      </c>
      <c r="E37" s="20">
        <f t="shared" si="0"/>
        <v>47.27634200235958</v>
      </c>
      <c r="F37" s="20">
        <f>SUM(D37)/C37*100</f>
        <v>87.87784135166612</v>
      </c>
    </row>
    <row r="38" spans="1:6" s="37" customFormat="1" ht="15">
      <c r="A38" s="38" t="s">
        <v>36</v>
      </c>
      <c r="B38" s="11">
        <v>8901.357</v>
      </c>
      <c r="C38" s="11">
        <v>4824.604</v>
      </c>
      <c r="D38" s="11">
        <v>4215.349</v>
      </c>
      <c r="E38" s="20">
        <f t="shared" si="0"/>
        <v>47.356251412003814</v>
      </c>
      <c r="F38" s="20">
        <f t="shared" si="1"/>
        <v>87.37191694903872</v>
      </c>
    </row>
    <row r="39" spans="1:6" s="37" customFormat="1" ht="30">
      <c r="A39" s="38" t="s">
        <v>39</v>
      </c>
      <c r="B39" s="11">
        <v>6464.382</v>
      </c>
      <c r="C39" s="11">
        <v>3128.222</v>
      </c>
      <c r="D39" s="11">
        <f>2985.672+1.388</f>
        <v>2987.06</v>
      </c>
      <c r="E39" s="20">
        <f t="shared" si="0"/>
        <v>46.207974714365584</v>
      </c>
      <c r="F39" s="20">
        <f t="shared" si="1"/>
        <v>95.48746860037426</v>
      </c>
    </row>
    <row r="40" spans="1:6" s="37" customFormat="1" ht="15">
      <c r="A40" s="38" t="s">
        <v>40</v>
      </c>
      <c r="B40" s="11">
        <f>SUM(B36)-B37-B38-B39</f>
        <v>31497.945999999996</v>
      </c>
      <c r="C40" s="11">
        <f>SUM(C36)-C37-C38-C39</f>
        <v>17355.679999999997</v>
      </c>
      <c r="D40" s="11">
        <f>SUM(D36)-D37-D38-D39</f>
        <v>12511.77</v>
      </c>
      <c r="E40" s="20">
        <f t="shared" si="0"/>
        <v>39.72249492077992</v>
      </c>
      <c r="F40" s="20">
        <f t="shared" si="1"/>
        <v>72.09034736754771</v>
      </c>
    </row>
    <row r="41" spans="1:6" s="37" customFormat="1" ht="15">
      <c r="A41" s="36" t="s">
        <v>41</v>
      </c>
      <c r="B41" s="25">
        <v>9622.168</v>
      </c>
      <c r="C41" s="25">
        <f>2367.91+4120.994</f>
        <v>6488.9039999999995</v>
      </c>
      <c r="D41" s="25">
        <f>1954.391+16.646</f>
        <v>1971.037</v>
      </c>
      <c r="E41" s="20">
        <f t="shared" si="0"/>
        <v>20.48433367615282</v>
      </c>
      <c r="F41" s="20">
        <f t="shared" si="1"/>
        <v>30.375499468014937</v>
      </c>
    </row>
    <row r="42" spans="1:6" s="35" customFormat="1" ht="14.25">
      <c r="A42" s="34" t="s">
        <v>62</v>
      </c>
      <c r="B42" s="18">
        <f>B43+B48</f>
        <v>54881.755</v>
      </c>
      <c r="C42" s="18">
        <f>C43+C48</f>
        <v>29579.85</v>
      </c>
      <c r="D42" s="18">
        <f>D43+D48</f>
        <v>22525.884000000002</v>
      </c>
      <c r="E42" s="19">
        <f t="shared" si="0"/>
        <v>41.04439444401879</v>
      </c>
      <c r="F42" s="19">
        <f t="shared" si="1"/>
        <v>76.15279996348868</v>
      </c>
    </row>
    <row r="43" spans="1:6" s="37" customFormat="1" ht="15">
      <c r="A43" s="36" t="s">
        <v>43</v>
      </c>
      <c r="B43" s="25">
        <v>51249.062</v>
      </c>
      <c r="C43" s="25">
        <v>26001.157</v>
      </c>
      <c r="D43" s="25">
        <f>21394.106+0.308</f>
        <v>21394.414</v>
      </c>
      <c r="E43" s="20">
        <f t="shared" si="0"/>
        <v>41.745962101706375</v>
      </c>
      <c r="F43" s="20">
        <f t="shared" si="1"/>
        <v>82.2825461190054</v>
      </c>
    </row>
    <row r="44" spans="1:6" s="37" customFormat="1" ht="15">
      <c r="A44" s="38" t="s">
        <v>35</v>
      </c>
      <c r="B44" s="11">
        <v>24685.189</v>
      </c>
      <c r="C44" s="11">
        <v>11850.757</v>
      </c>
      <c r="D44" s="11">
        <v>10295.7</v>
      </c>
      <c r="E44" s="20">
        <f t="shared" si="0"/>
        <v>41.70800555750252</v>
      </c>
      <c r="F44" s="20">
        <f>SUM(D44)/C44*100</f>
        <v>86.87799437622424</v>
      </c>
    </row>
    <row r="45" spans="1:6" s="37" customFormat="1" ht="15">
      <c r="A45" s="38" t="s">
        <v>36</v>
      </c>
      <c r="B45" s="11">
        <v>5430.741</v>
      </c>
      <c r="C45" s="11">
        <v>2609.511</v>
      </c>
      <c r="D45" s="11">
        <v>2261.85</v>
      </c>
      <c r="E45" s="20">
        <f t="shared" si="0"/>
        <v>41.64901253806801</v>
      </c>
      <c r="F45" s="20">
        <f t="shared" si="1"/>
        <v>86.67715905393769</v>
      </c>
    </row>
    <row r="46" spans="1:6" s="37" customFormat="1" ht="30">
      <c r="A46" s="38" t="s">
        <v>39</v>
      </c>
      <c r="B46" s="11">
        <v>4194.121</v>
      </c>
      <c r="C46" s="11">
        <v>1949.844</v>
      </c>
      <c r="D46" s="11">
        <v>1748.733</v>
      </c>
      <c r="E46" s="20">
        <f t="shared" si="0"/>
        <v>41.69486288068465</v>
      </c>
      <c r="F46" s="20">
        <f t="shared" si="1"/>
        <v>89.6857902478352</v>
      </c>
    </row>
    <row r="47" spans="1:6" s="37" customFormat="1" ht="15">
      <c r="A47" s="38" t="s">
        <v>40</v>
      </c>
      <c r="B47" s="11">
        <f>SUM(B43)-B44-B45-B46</f>
        <v>16939.011</v>
      </c>
      <c r="C47" s="11">
        <f>SUM(C43)-C44-C45-C46</f>
        <v>9591.044999999998</v>
      </c>
      <c r="D47" s="11">
        <f>SUM(D43)-D44-D45-D46</f>
        <v>7088.130999999999</v>
      </c>
      <c r="E47" s="20">
        <f t="shared" si="0"/>
        <v>41.84501090411949</v>
      </c>
      <c r="F47" s="20">
        <f t="shared" si="1"/>
        <v>73.90363615226497</v>
      </c>
    </row>
    <row r="48" spans="1:6" s="37" customFormat="1" ht="15">
      <c r="A48" s="36" t="s">
        <v>41</v>
      </c>
      <c r="B48" s="25">
        <v>3632.693</v>
      </c>
      <c r="C48" s="25">
        <f>1758.148+1820.545</f>
        <v>3578.693</v>
      </c>
      <c r="D48" s="25">
        <v>1131.47</v>
      </c>
      <c r="E48" s="20">
        <f t="shared" si="0"/>
        <v>31.146865424631258</v>
      </c>
      <c r="F48" s="20">
        <f t="shared" si="1"/>
        <v>31.616850062299278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42171.949</v>
      </c>
      <c r="D49" s="18">
        <f>D50+D55</f>
        <v>33187.318999999996</v>
      </c>
      <c r="E49" s="19">
        <f t="shared" si="0"/>
        <v>36.643533406552706</v>
      </c>
      <c r="F49" s="19">
        <f t="shared" si="1"/>
        <v>78.69524597973879</v>
      </c>
    </row>
    <row r="50" spans="1:6" s="37" customFormat="1" ht="15">
      <c r="A50" s="36" t="s">
        <v>43</v>
      </c>
      <c r="B50" s="25">
        <v>82568.01</v>
      </c>
      <c r="C50" s="25">
        <v>39039.249</v>
      </c>
      <c r="D50" s="25">
        <v>32733.779</v>
      </c>
      <c r="E50" s="20">
        <f t="shared" si="0"/>
        <v>39.644626290496774</v>
      </c>
      <c r="F50" s="20">
        <f t="shared" si="1"/>
        <v>83.84838294404689</v>
      </c>
    </row>
    <row r="51" spans="1:6" s="37" customFormat="1" ht="15">
      <c r="A51" s="38" t="s">
        <v>35</v>
      </c>
      <c r="B51" s="11">
        <v>50916.2</v>
      </c>
      <c r="C51" s="11">
        <v>24030.187</v>
      </c>
      <c r="D51" s="11">
        <v>20596.118</v>
      </c>
      <c r="E51" s="20">
        <f t="shared" si="0"/>
        <v>40.45101166230001</v>
      </c>
      <c r="F51" s="20">
        <f>SUM(D51)/C51*100</f>
        <v>85.70935382234019</v>
      </c>
    </row>
    <row r="52" spans="1:6" s="37" customFormat="1" ht="15">
      <c r="A52" s="38" t="s">
        <v>36</v>
      </c>
      <c r="B52" s="11">
        <v>11270.743</v>
      </c>
      <c r="C52" s="11">
        <v>5317.002</v>
      </c>
      <c r="D52" s="11">
        <v>4523.038</v>
      </c>
      <c r="E52" s="20">
        <f t="shared" si="0"/>
        <v>40.130788183174786</v>
      </c>
      <c r="F52" s="20">
        <f t="shared" si="1"/>
        <v>85.06744966430328</v>
      </c>
    </row>
    <row r="53" spans="1:6" s="37" customFormat="1" ht="30">
      <c r="A53" s="38" t="s">
        <v>39</v>
      </c>
      <c r="B53" s="11">
        <v>4798.274</v>
      </c>
      <c r="C53" s="11">
        <v>2185.256</v>
      </c>
      <c r="D53" s="11">
        <v>2075.208</v>
      </c>
      <c r="E53" s="20">
        <f t="shared" si="0"/>
        <v>43.249051638151556</v>
      </c>
      <c r="F53" s="20">
        <f t="shared" si="1"/>
        <v>94.9640682830753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7506.804000000002</v>
      </c>
      <c r="D54" s="11">
        <f>SUM(D50)-D51-D52-D53</f>
        <v>5539.415000000001</v>
      </c>
      <c r="E54" s="20">
        <f t="shared" si="0"/>
        <v>35.54828072220431</v>
      </c>
      <c r="F54" s="20">
        <f t="shared" si="1"/>
        <v>73.79192263445269</v>
      </c>
    </row>
    <row r="55" spans="1:6" s="37" customFormat="1" ht="15">
      <c r="A55" s="36" t="s">
        <v>41</v>
      </c>
      <c r="B55" s="25">
        <v>8000</v>
      </c>
      <c r="C55" s="25">
        <f>1894.933+1237.767</f>
        <v>3132.7</v>
      </c>
      <c r="D55" s="25">
        <v>453.54</v>
      </c>
      <c r="E55" s="20">
        <f t="shared" si="0"/>
        <v>5.66925</v>
      </c>
      <c r="F55" s="20">
        <f t="shared" si="1"/>
        <v>14.47760717591854</v>
      </c>
    </row>
    <row r="56" spans="1:6" s="37" customFormat="1" ht="28.5">
      <c r="A56" s="21" t="s">
        <v>46</v>
      </c>
      <c r="B56" s="22">
        <f>B57+B60</f>
        <v>306187.88399999996</v>
      </c>
      <c r="C56" s="22">
        <f>C57+C60</f>
        <v>110095.16</v>
      </c>
      <c r="D56" s="22">
        <f>D57+D60</f>
        <v>61317.088</v>
      </c>
      <c r="E56" s="19">
        <f t="shared" si="0"/>
        <v>20.025968107869353</v>
      </c>
      <c r="F56" s="19">
        <f t="shared" si="1"/>
        <v>55.69462635777994</v>
      </c>
    </row>
    <row r="57" spans="1:6" s="37" customFormat="1" ht="15">
      <c r="A57" s="36" t="s">
        <v>43</v>
      </c>
      <c r="B57" s="25">
        <v>179378.042</v>
      </c>
      <c r="C57" s="25">
        <v>78072.11</v>
      </c>
      <c r="D57" s="25">
        <f>50444.427+1266.802</f>
        <v>51711.22900000001</v>
      </c>
      <c r="E57" s="20">
        <f t="shared" si="0"/>
        <v>28.828070829315894</v>
      </c>
      <c r="F57" s="20">
        <f t="shared" si="1"/>
        <v>66.23521382988112</v>
      </c>
    </row>
    <row r="58" spans="1:6" s="37" customFormat="1" ht="30">
      <c r="A58" s="38" t="s">
        <v>39</v>
      </c>
      <c r="B58" s="11">
        <v>20033.7</v>
      </c>
      <c r="C58" s="11">
        <v>10442.234</v>
      </c>
      <c r="D58" s="11">
        <v>9618.836</v>
      </c>
      <c r="E58" s="20">
        <f t="shared" si="0"/>
        <v>48.013277627198164</v>
      </c>
      <c r="F58" s="20">
        <f>SUM(D58)/C58*100</f>
        <v>92.1147333032376</v>
      </c>
    </row>
    <row r="59" spans="1:6" s="37" customFormat="1" ht="15">
      <c r="A59" s="38" t="s">
        <v>40</v>
      </c>
      <c r="B59" s="11">
        <f>SUM(B57)-B58</f>
        <v>159344.34199999998</v>
      </c>
      <c r="C59" s="11">
        <f>SUM(C57)-C58</f>
        <v>67629.876</v>
      </c>
      <c r="D59" s="11">
        <f>SUM(D57)-D58</f>
        <v>42092.39300000001</v>
      </c>
      <c r="E59" s="20">
        <f t="shared" si="0"/>
        <v>26.415994739242148</v>
      </c>
      <c r="F59" s="20">
        <f t="shared" si="1"/>
        <v>62.2393467052934</v>
      </c>
    </row>
    <row r="60" spans="1:6" s="37" customFormat="1" ht="15">
      <c r="A60" s="36" t="s">
        <v>41</v>
      </c>
      <c r="B60" s="25">
        <f>2465+124344.842</f>
        <v>126809.842</v>
      </c>
      <c r="C60" s="25">
        <f>2465+2500+35+12488.286+14534.764</f>
        <v>32023.05</v>
      </c>
      <c r="D60" s="25">
        <v>9605.859</v>
      </c>
      <c r="E60" s="20">
        <f t="shared" si="0"/>
        <v>7.575010621021041</v>
      </c>
      <c r="F60" s="20">
        <f t="shared" si="1"/>
        <v>29.99670237532028</v>
      </c>
    </row>
    <row r="61" spans="1:6" s="37" customFormat="1" ht="15">
      <c r="A61" s="21" t="s">
        <v>47</v>
      </c>
      <c r="B61" s="22">
        <f>SUM(B62)</f>
        <v>97322.069</v>
      </c>
      <c r="C61" s="22">
        <f>SUM(C62)</f>
        <v>32655.587</v>
      </c>
      <c r="D61" s="22">
        <f>SUM(D62)</f>
        <v>6439.518</v>
      </c>
      <c r="E61" s="20">
        <f t="shared" si="0"/>
        <v>6.616708898780193</v>
      </c>
      <c r="F61" s="20">
        <f t="shared" si="1"/>
        <v>19.71949853481427</v>
      </c>
    </row>
    <row r="62" spans="1:6" s="37" customFormat="1" ht="15">
      <c r="A62" s="36" t="s">
        <v>41</v>
      </c>
      <c r="B62" s="25">
        <v>97322.069</v>
      </c>
      <c r="C62" s="25">
        <f>14666.272+17989.315</f>
        <v>32655.587</v>
      </c>
      <c r="D62" s="25">
        <f>6411.318+28.2</f>
        <v>6439.518</v>
      </c>
      <c r="E62" s="20">
        <f t="shared" si="0"/>
        <v>6.616708898780193</v>
      </c>
      <c r="F62" s="20">
        <f t="shared" si="1"/>
        <v>19.71949853481427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0"/>
        <v>1.3224750419468196</v>
      </c>
      <c r="F63" s="19">
        <f t="shared" si="1"/>
        <v>2.9356910017280304</v>
      </c>
    </row>
    <row r="64" spans="1:6" s="37" customFormat="1" ht="15">
      <c r="A64" s="36" t="s">
        <v>40</v>
      </c>
      <c r="B64" s="25">
        <v>82070.117</v>
      </c>
      <c r="C64" s="25">
        <v>47146.367</v>
      </c>
      <c r="D64" s="25">
        <v>38916.073</v>
      </c>
      <c r="E64" s="20">
        <f t="shared" si="0"/>
        <v>47.41807910423717</v>
      </c>
      <c r="F64" s="20">
        <f t="shared" si="1"/>
        <v>82.54310029869322</v>
      </c>
    </row>
    <row r="65" spans="1:6" s="37" customFormat="1" ht="15">
      <c r="A65" s="36" t="s">
        <v>41</v>
      </c>
      <c r="B65" s="25">
        <v>110870.613</v>
      </c>
      <c r="C65" s="25">
        <f>12769.899+27000</f>
        <v>39769.899</v>
      </c>
      <c r="D65" s="25">
        <v>13717.157</v>
      </c>
      <c r="E65" s="20">
        <f t="shared" si="0"/>
        <v>12.372220761510535</v>
      </c>
      <c r="F65" s="20">
        <f t="shared" si="1"/>
        <v>34.491304591947795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1113</v>
      </c>
      <c r="D66" s="22">
        <f>SUM(D67:D67)</f>
        <v>1112.871</v>
      </c>
      <c r="E66" s="19">
        <f t="shared" si="0"/>
        <v>16.128565217391305</v>
      </c>
      <c r="F66" s="19">
        <f t="shared" si="1"/>
        <v>99.98840970350406</v>
      </c>
    </row>
    <row r="67" spans="1:6" s="37" customFormat="1" ht="15">
      <c r="A67" s="36" t="s">
        <v>41</v>
      </c>
      <c r="B67" s="25">
        <v>6900</v>
      </c>
      <c r="C67" s="25">
        <f>300+813</f>
        <v>1113</v>
      </c>
      <c r="D67" s="25">
        <v>1112.871</v>
      </c>
      <c r="E67" s="20">
        <f t="shared" si="0"/>
        <v>16.128565217391305</v>
      </c>
      <c r="F67" s="20">
        <f t="shared" si="1"/>
        <v>99.98840970350406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4573.131</v>
      </c>
      <c r="D68" s="18">
        <f>SUM(D69)+D72</f>
        <v>2462.782</v>
      </c>
      <c r="E68" s="19">
        <f t="shared" si="0"/>
        <v>25.85326474910771</v>
      </c>
      <c r="F68" s="19">
        <f t="shared" si="1"/>
        <v>53.85330094414527</v>
      </c>
    </row>
    <row r="69" spans="1:6" s="37" customFormat="1" ht="15">
      <c r="A69" s="36" t="s">
        <v>43</v>
      </c>
      <c r="B69" s="25">
        <v>8800.034</v>
      </c>
      <c r="C69" s="25">
        <v>4573.131</v>
      </c>
      <c r="D69" s="25">
        <v>2462.782</v>
      </c>
      <c r="E69" s="20">
        <f aca="true" t="shared" si="2" ref="E69:E90">SUM(D69)/B69*100</f>
        <v>27.98605096298492</v>
      </c>
      <c r="F69" s="20">
        <f t="shared" si="1"/>
        <v>53.85330094414527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4561.991</v>
      </c>
      <c r="D71" s="11">
        <f>SUM(D69)-D70</f>
        <v>2461.385</v>
      </c>
      <c r="E71" s="19">
        <f t="shared" si="2"/>
        <v>28.01779335368451</v>
      </c>
      <c r="F71" s="19">
        <f t="shared" si="1"/>
        <v>53.95418360097598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1670</v>
      </c>
      <c r="C73" s="18"/>
      <c r="D73" s="18"/>
      <c r="E73" s="20">
        <f t="shared" si="2"/>
        <v>0</v>
      </c>
      <c r="F73" s="20" t="e">
        <f t="shared" si="1"/>
        <v>#DIV/0!</v>
      </c>
    </row>
    <row r="74" spans="1:6" s="37" customFormat="1" ht="15">
      <c r="A74" s="40" t="s">
        <v>52</v>
      </c>
      <c r="B74" s="18">
        <v>37806.6</v>
      </c>
      <c r="C74" s="18">
        <v>18903.6</v>
      </c>
      <c r="D74" s="18">
        <v>17853.4</v>
      </c>
      <c r="E74" s="20">
        <f t="shared" si="2"/>
        <v>47.22297165045257</v>
      </c>
      <c r="F74" s="20">
        <f aca="true" t="shared" si="3" ref="F74:F90">SUM(D74)/C74*100</f>
        <v>94.44444444444446</v>
      </c>
    </row>
    <row r="75" spans="1:6" s="35" customFormat="1" ht="15">
      <c r="A75" s="34" t="s">
        <v>53</v>
      </c>
      <c r="B75" s="18">
        <f>SUM(B76)+B80</f>
        <v>16607.913</v>
      </c>
      <c r="C75" s="18">
        <f>SUM(C76)+C80</f>
        <v>10938.661</v>
      </c>
      <c r="D75" s="18">
        <f>SUM(D76)+D80</f>
        <v>1354.499</v>
      </c>
      <c r="E75" s="20">
        <f t="shared" si="2"/>
        <v>8.155744794665049</v>
      </c>
      <c r="F75" s="20">
        <f t="shared" si="3"/>
        <v>12.382676453726832</v>
      </c>
    </row>
    <row r="76" spans="1:6" s="35" customFormat="1" ht="15">
      <c r="A76" s="36" t="s">
        <v>43</v>
      </c>
      <c r="B76" s="25">
        <f>11077.904+196.033</f>
        <v>11273.937</v>
      </c>
      <c r="C76" s="25">
        <v>8484.475</v>
      </c>
      <c r="D76" s="25">
        <f>218.769+36+53.875+653.87-572.473+15.001+15.946+29.534+90.001+103.336+122.519+94.84+71.79+421.491</f>
        <v>1354.499</v>
      </c>
      <c r="E76" s="19">
        <f t="shared" si="2"/>
        <v>12.014427612998015</v>
      </c>
      <c r="F76" s="20">
        <f t="shared" si="3"/>
        <v>15.964440934766147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11273.937</v>
      </c>
      <c r="C79" s="11">
        <f>SUM(C76)-C77-C78</f>
        <v>8484.475</v>
      </c>
      <c r="D79" s="11">
        <f>SUM(D76)-D77-D78</f>
        <v>1354.499</v>
      </c>
      <c r="E79" s="20">
        <f t="shared" si="2"/>
        <v>12.014427612998015</v>
      </c>
      <c r="F79" s="20">
        <f>SUM(D79)/C79*100</f>
        <v>15.964440934766147</v>
      </c>
    </row>
    <row r="80" spans="1:6" s="37" customFormat="1" ht="15">
      <c r="A80" s="36" t="s">
        <v>41</v>
      </c>
      <c r="B80" s="25">
        <v>5333.976</v>
      </c>
      <c r="C80" s="25">
        <v>2454.186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2"/>
        <v>53.085600530856006</v>
      </c>
      <c r="F81" s="20">
        <f t="shared" si="3"/>
        <v>53.192904066597514</v>
      </c>
    </row>
    <row r="82" spans="1:11" s="46" customFormat="1" ht="15.75">
      <c r="A82" s="43" t="s">
        <v>55</v>
      </c>
      <c r="B82" s="28">
        <f>B5+B14+B23+B35+B42+B49+B56+B61+B63+B66+B68+B73+B74+B75+B81</f>
        <v>2727923.162</v>
      </c>
      <c r="C82" s="28">
        <f>C5+C14+C23+C35+C42+C49+C56+C61+C63+C66+C68+C73+C74+C75+C81</f>
        <v>1390480.7530000005</v>
      </c>
      <c r="D82" s="28">
        <f>D5+D14+D23+D35+D42+D49+D56+D61+D63+D66+D68+D73+D74+D75+D81</f>
        <v>1070092.2610000002</v>
      </c>
      <c r="E82" s="20">
        <f t="shared" si="2"/>
        <v>39.227360796168945</v>
      </c>
      <c r="F82" s="20">
        <f t="shared" si="3"/>
        <v>76.95843748223388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2286234.51</v>
      </c>
      <c r="C83" s="28">
        <f>C6+C15+C24+C36+C43+C50+C57+C64+C69+C76+C74</f>
        <v>1233795.4290000005</v>
      </c>
      <c r="D83" s="28">
        <f>D6+D15+D24+D36+D43+D50+D57+D64+D69+D76+D74</f>
        <v>1070235.821</v>
      </c>
      <c r="E83" s="20">
        <f t="shared" si="2"/>
        <v>46.81216280826765</v>
      </c>
      <c r="F83" s="20">
        <f t="shared" si="3"/>
        <v>86.74337704974587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754676.7779999999</v>
      </c>
      <c r="C84" s="22">
        <f t="shared" si="4"/>
        <v>408636.55299999996</v>
      </c>
      <c r="D84" s="22">
        <f t="shared" si="4"/>
        <v>353383.27200000006</v>
      </c>
      <c r="E84" s="19">
        <f t="shared" si="2"/>
        <v>46.825777909387334</v>
      </c>
      <c r="F84" s="19">
        <f t="shared" si="3"/>
        <v>86.4786249310399</v>
      </c>
    </row>
    <row r="85" spans="1:6" ht="15">
      <c r="A85" s="47" t="s">
        <v>36</v>
      </c>
      <c r="B85" s="22">
        <f t="shared" si="4"/>
        <v>166063.64299999998</v>
      </c>
      <c r="C85" s="22">
        <f t="shared" si="4"/>
        <v>90203.389</v>
      </c>
      <c r="D85" s="22">
        <f t="shared" si="4"/>
        <v>77924.93200000002</v>
      </c>
      <c r="E85" s="19">
        <f t="shared" si="2"/>
        <v>46.924739571081204</v>
      </c>
      <c r="F85" s="19">
        <f t="shared" si="3"/>
        <v>86.388031385384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85888.71899999997</v>
      </c>
      <c r="D86" s="22">
        <f>D70+D11+D20+D29+D39+D46+D53+D58</f>
        <v>75764.53099999999</v>
      </c>
      <c r="E86" s="19">
        <f t="shared" si="2"/>
        <v>45.729187906038774</v>
      </c>
      <c r="F86" s="19">
        <f>SUM(D86)/C86*100</f>
        <v>88.21243567505066</v>
      </c>
    </row>
    <row r="87" spans="1:6" ht="15">
      <c r="A87" s="47" t="s">
        <v>40</v>
      </c>
      <c r="B87" s="22">
        <f>B83-B84-B85-B86</f>
        <v>1199813.187</v>
      </c>
      <c r="C87" s="22">
        <f>C83-C84-C85-C86</f>
        <v>649066.7680000006</v>
      </c>
      <c r="D87" s="22">
        <f>D83-D84-D85-D86</f>
        <v>563163.0859999999</v>
      </c>
      <c r="E87" s="19">
        <f t="shared" si="2"/>
        <v>46.93756428933131</v>
      </c>
      <c r="F87" s="19">
        <f t="shared" si="3"/>
        <v>86.76504695122512</v>
      </c>
    </row>
    <row r="88" spans="1:6" ht="15">
      <c r="A88" s="34" t="s">
        <v>41</v>
      </c>
      <c r="B88" s="18">
        <f>B13+B22+B41+B34+B55+B60+B62+B65+B67+B72+B80+B48</f>
        <v>424948.65200000006</v>
      </c>
      <c r="C88" s="18">
        <f>C13+C22+C41+C34+C55+C60+C62+C65+C67+C72+C80+C48</f>
        <v>141645.724</v>
      </c>
      <c r="D88" s="18">
        <f>D13+D22+D41+D34+D55+D60+D62+D65+D67+D72+D80+D48</f>
        <v>41938.077000000005</v>
      </c>
      <c r="E88" s="19">
        <f t="shared" si="2"/>
        <v>9.86897518150028</v>
      </c>
      <c r="F88" s="19">
        <f t="shared" si="3"/>
        <v>29.607725398050142</v>
      </c>
    </row>
    <row r="89" spans="1:6" ht="15">
      <c r="A89" s="34" t="s">
        <v>57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2"/>
        <v>53.085600530856006</v>
      </c>
      <c r="F89" s="19">
        <f t="shared" si="3"/>
        <v>53.192904066597514</v>
      </c>
    </row>
    <row r="90" spans="1:6" ht="28.5">
      <c r="A90" s="34" t="s">
        <v>58</v>
      </c>
      <c r="B90" s="18">
        <f>SUM(B73)</f>
        <v>1670</v>
      </c>
      <c r="C90" s="18">
        <f>SUM(C73)</f>
        <v>0</v>
      </c>
      <c r="D90" s="18"/>
      <c r="E90" s="19">
        <f t="shared" si="2"/>
        <v>0</v>
      </c>
      <c r="F90" s="19" t="e">
        <f t="shared" si="3"/>
        <v>#DIV/0!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2016-06-22T12:35:27Z</dcterms:modified>
  <cp:category/>
  <cp:version/>
  <cp:contentType/>
  <cp:contentStatus/>
</cp:coreProperties>
</file>