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Поточні ремонти" sheetId="1" r:id="rId1"/>
  </sheets>
  <definedNames>
    <definedName name="Z_0807BC37_3C63_4F33_8764_08C0EDADAA6D_.wvu.FilterData" localSheetId="0" hidden="1">'Поточні ремонти'!$A$4:$E$5</definedName>
    <definedName name="Z_0807BC37_3C63_4F33_8764_08C0EDADAA6D_.wvu.PrintTitles" localSheetId="0" hidden="1">'Поточні ремонти'!$4:$5</definedName>
    <definedName name="Z_0CAD288D_3D93_4121_9E18_6A575266150B_.wvu.FilterData" localSheetId="0" hidden="1">'Поточні ремонти'!$A$4:$E$1257</definedName>
    <definedName name="Z_11C8950C_C858_4BB6_BC79_930FF6D55BCC_.wvu.FilterData" localSheetId="0" hidden="1">'Поточні ремонти'!$A$4:$E$5</definedName>
    <definedName name="Z_237E48EE_855D_4E22_A215_D7BA155C0632_.wvu.FilterData" localSheetId="0" hidden="1">'Поточні ремонти'!$A$4:$E$5</definedName>
    <definedName name="Z_237E48EE_855D_4E22_A215_D7BA155C0632_.wvu.PrintTitles" localSheetId="0" hidden="1">'Поточні ремонти'!$4:$5</definedName>
    <definedName name="Z_25D80E02_DE87_403B_A2BD_704FFA9D66DA_.wvu.FilterData" localSheetId="0" hidden="1">'Поточні ремонти'!$A$4:$E$1257</definedName>
    <definedName name="Z_25D80E02_DE87_403B_A2BD_704FFA9D66DA_.wvu.PrintTitles" localSheetId="0" hidden="1">'Поточні ремонти'!$4:$5</definedName>
    <definedName name="Z_373C6CF9_23BB_4CF5_B1A6_873AA5A22ED1_.wvu.FilterData" localSheetId="0" hidden="1">'Поточні ремонти'!$A$4:$E$1336</definedName>
    <definedName name="Z_3DF8BEC8_0E34_4D6A_B462_4EBEEDE944E0_.wvu.FilterData" localSheetId="0" hidden="1">'Поточні ремонти'!$A$4:$E$1257</definedName>
    <definedName name="Z_436A1965_C17E_45AD_8476_CFF58DA45F66_.wvu.FilterData" localSheetId="0" hidden="1">'Поточні ремонти'!$A$4:$E$1257</definedName>
    <definedName name="Z_436A1965_C17E_45AD_8476_CFF58DA45F66_.wvu.PrintTitles" localSheetId="0" hidden="1">'Поточні ремонти'!$4:$5</definedName>
    <definedName name="Z_4D494E37_21A4_41F8_BD77_D1C44D691FA4_.wvu.FilterData" localSheetId="0" hidden="1">'Поточні ремонти'!$A$4:$E$1257</definedName>
    <definedName name="Z_4D494E37_21A4_41F8_BD77_D1C44D691FA4_.wvu.PrintTitles" localSheetId="0" hidden="1">'Поточні ремонти'!$4:$5</definedName>
    <definedName name="Z_51C58801_F2A5_4735_B500_4677902A49A3_.wvu.FilterData" localSheetId="0" hidden="1">'Поточні ремонти'!$A$4:$E$1258</definedName>
    <definedName name="Z_582C30CF_2170_447E_B08C_D4CA48EA0942_.wvu.FilterData" localSheetId="0" hidden="1">'Поточні ремонти'!$A$4:$E$1257</definedName>
    <definedName name="Z_592BCC2D_C80C_4ED6_BF39_105E1BEB677B_.wvu.FilterData" localSheetId="0" hidden="1">'Поточні ремонти'!$A$4:$E$1257</definedName>
    <definedName name="Z_592BCC2D_C80C_4ED6_BF39_105E1BEB677B_.wvu.PrintTitles" localSheetId="0" hidden="1">'Поточні ремонти'!$4:$5</definedName>
    <definedName name="Z_5AD8CF9A_F737_40F1_BC4E_B08BE4CBD52F_.wvu.FilterData" localSheetId="0" hidden="1">'Поточні ремонти'!$A$4:$E$5</definedName>
    <definedName name="Z_6235BC21_3D25_4E8C_898E_855DDDDD2566_.wvu.FilterData" localSheetId="0" hidden="1">'Поточні ремонти'!$A$4:$E$1258</definedName>
    <definedName name="Z_6235BC21_3D25_4E8C_898E_855DDDDD2566_.wvu.PrintTitles" localSheetId="0" hidden="1">'Поточні ремонти'!$4:$5</definedName>
    <definedName name="Z_63624039_79B7_4B53_8C9B_62AEAD1FE854_.wvu.FilterData" localSheetId="0" hidden="1">'Поточні ремонти'!$A$4:$E$1257</definedName>
    <definedName name="Z_63624039_79B7_4B53_8C9B_62AEAD1FE854_.wvu.PrintTitles" localSheetId="0" hidden="1">'Поточні ремонти'!$4:$5</definedName>
    <definedName name="Z_6C44D0DE_ADF0_4756_855B_4978F9F90A71_.wvu.FilterData" localSheetId="0" hidden="1">'Поточні ремонти'!$A$4:$E$5</definedName>
    <definedName name="Z_6C4C0A1E_9F55_46A5_9256_CBEA636F78CA_.wvu.FilterData" localSheetId="0" hidden="1">'Поточні ремонти'!$A$4:$E$5</definedName>
    <definedName name="Z_6C4C0A1E_9F55_46A5_9256_CBEA636F78CA_.wvu.PrintTitles" localSheetId="0" hidden="1">'Поточні ремонти'!$4:$5</definedName>
    <definedName name="Z_7BB3E45E_9C2B_492C_ACA4_3228F7449709_.wvu.FilterData" localSheetId="0" hidden="1">'Поточні ремонти'!$A$4:$E$1257</definedName>
    <definedName name="Z_7DFE9900_01DD_44C4_83B3_2BACF6626FCA_.wvu.FilterData" localSheetId="0" hidden="1">'Поточні ремонти'!$A$4:$E$1258</definedName>
    <definedName name="Z_880B0293_1E83_4F03_A590_98BFE28A2EAD_.wvu.FilterData" localSheetId="0" hidden="1">'Поточні ремонти'!$A$4:$E$1257</definedName>
    <definedName name="Z_880B0293_1E83_4F03_A590_98BFE28A2EAD_.wvu.PrintArea" localSheetId="0" hidden="1">'Поточні ремонти'!$A$2:$E$1257</definedName>
    <definedName name="Z_880B0293_1E83_4F03_A590_98BFE28A2EAD_.wvu.PrintTitles" localSheetId="0" hidden="1">'Поточні ремонти'!$4:$5</definedName>
    <definedName name="Z_943409E6_526F_46BA_BC1E_5958E19D764B_.wvu.FilterData" localSheetId="0" hidden="1">'Поточні ремонти'!$A$4:$E$5</definedName>
    <definedName name="Z_94A2A2F5_7164_46C6_BF9F_AB5DAA84D213_.wvu.FilterData" localSheetId="0" hidden="1">'Поточні ремонти'!$A$4:$E$1258</definedName>
    <definedName name="Z_94A2A2F5_7164_46C6_BF9F_AB5DAA84D213_.wvu.PrintTitles" localSheetId="0" hidden="1">'Поточні ремонти'!$4:$5</definedName>
    <definedName name="Z_9B348F59_60C9_4B35_8EF0_0CAA0A744718_.wvu.FilterData" localSheetId="0" hidden="1">'Поточні ремонти'!$A$4:$E$5</definedName>
    <definedName name="Z_B2B7808A_1DE3_4E8C_BA26_3C1F89D42E45_.wvu.FilterData" localSheetId="0" hidden="1">'Поточні ремонти'!$A$4:$E$1258</definedName>
    <definedName name="Z_B2B7808A_1DE3_4E8C_BA26_3C1F89D42E45_.wvu.PrintTitles" localSheetId="0" hidden="1">'Поточні ремонти'!$4:$5</definedName>
    <definedName name="Z_C08C5C12_FFBC_4F4C_9138_5D34ADCEB223_.wvu.FilterData" localSheetId="0" hidden="1">'Поточні ремонти'!$A$4:$E$5</definedName>
    <definedName name="Z_C08C5C12_FFBC_4F4C_9138_5D34ADCEB223_.wvu.PrintTitles" localSheetId="0" hidden="1">'Поточні ремонти'!$4:$5</definedName>
    <definedName name="Z_C27955D4_807E_4F74_AF90_54AA294CBBAD_.wvu.FilterData" localSheetId="0" hidden="1">'Поточні ремонти'!$A$4:$E$1257</definedName>
    <definedName name="Z_C431141F_117F_49C7_B3E7_D4961D1E781E_.wvu.FilterData" localSheetId="0" hidden="1">'Поточні ремонти'!$A$4:$E$1257</definedName>
    <definedName name="Z_C431141F_117F_49C7_B3E7_D4961D1E781E_.wvu.PrintArea" localSheetId="0" hidden="1">'Поточні ремонти'!$A$2:$E$1257</definedName>
    <definedName name="Z_C431141F_117F_49C7_B3E7_D4961D1E781E_.wvu.PrintTitles" localSheetId="0" hidden="1">'Поточні ремонти'!$4:$5</definedName>
    <definedName name="Z_C4E1FC53_13AF_4353_A377_998BCF090C4C_.wvu.FilterData" localSheetId="0" hidden="1">'Поточні ремонти'!$A$4:$E$1257</definedName>
    <definedName name="Z_C4E1FC53_13AF_4353_A377_998BCF090C4C_.wvu.PrintTitles" localSheetId="0" hidden="1">'Поточні ремонти'!$4:$5</definedName>
    <definedName name="Z_C6E63E91_D3BD_4244_BAC2_2378C38DF10F_.wvu.FilterData" localSheetId="0" hidden="1">'Поточні ремонти'!$A$4:$E$5</definedName>
    <definedName name="Z_D2F149E1_6EAF_4300_8424_5876416379E7_.wvu.FilterData" localSheetId="0" hidden="1">'Поточні ремонти'!$A$4:$E$5</definedName>
    <definedName name="Z_EED4C4C4_2768_4906_8D20_11DE2EB8B1AD_.wvu.FilterData" localSheetId="0" hidden="1">'Поточні ремонти'!$A$4:$E$5</definedName>
    <definedName name="Z_EED4C4C4_2768_4906_8D20_11DE2EB8B1AD_.wvu.PrintTitles" localSheetId="0" hidden="1">'Поточні ремонти'!$4:$5</definedName>
    <definedName name="_xlnm.Print_Titles" localSheetId="0">'Поточні ремонти'!$4:$5</definedName>
    <definedName name="_xlnm.Print_Area" localSheetId="0">'Поточні ремонти'!$A$1:$E$1257</definedName>
  </definedNames>
  <calcPr fullCalcOnLoad="1"/>
</workbook>
</file>

<file path=xl/sharedStrings.xml><?xml version="1.0" encoding="utf-8"?>
<sst xmlns="http://schemas.openxmlformats.org/spreadsheetml/2006/main" count="4565" uniqueCount="1998">
  <si>
    <t>Х</t>
  </si>
  <si>
    <t>ВСЬОГО:</t>
  </si>
  <si>
    <t>Разом</t>
  </si>
  <si>
    <t>ФОП Дейнеко І.В.</t>
  </si>
  <si>
    <t>ФОП Огієвич С. О.</t>
  </si>
  <si>
    <t xml:space="preserve">Поточний ремонт майданчика для збору ТПВ </t>
  </si>
  <si>
    <t>«Поточний ремонт майданчика під контейнери для збору ТПВ біля будинку №15А по пр. Героїв України у Центральному районі м. Миколаєва</t>
  </si>
  <si>
    <t xml:space="preserve">біля будинку №15А по пр. Героїв України  </t>
  </si>
  <si>
    <t>«Поточний ремонт майданчика під контейнери для збору ТПВ біля будинку №15 В по пр. Героїв України у Центральному районі м. Миколаєва</t>
  </si>
  <si>
    <t xml:space="preserve"> біля будинку №15 В по пр. Героїв України  </t>
  </si>
  <si>
    <t>Поточний майданчика під контейнери для збору ТПВ біля будинку № 20 Б по пр. Героїв України у Центральному районі м. Миколаєва</t>
  </si>
  <si>
    <t xml:space="preserve">біля будинку № 20 Б по пр. Героїв України </t>
  </si>
  <si>
    <t>ФОП Озейчук С.М.</t>
  </si>
  <si>
    <t>Поточний ремонт майданчика для збору ТПВ по вул. Потьомкінській ріг вул. Нікольської у Центральному районі м. Миколаєва</t>
  </si>
  <si>
    <t xml:space="preserve">вул. Потьомкінській ріг вул. Нікольської </t>
  </si>
  <si>
    <t>Поточний майданчика під контейнери для збору ТПВ біля будинку № 16 по пр. Героїв України у Центральному районі м. Миколаєва</t>
  </si>
  <si>
    <t xml:space="preserve">біля будинку № 16 по пр. Героїв України </t>
  </si>
  <si>
    <t xml:space="preserve">Поточний ремонт майданчика під контейнери для збору ТПВ біля будинку №161 по пр. Центральному у Центральному районі м. Миколаєва» </t>
  </si>
  <si>
    <t xml:space="preserve"> біля будинку №161 по пр. Центральному </t>
  </si>
  <si>
    <t>”Поточний майданчика під контейнери для збору ТПВ біля будинку № 13 А по пр. Героїв України у Центральному районі м. Миколаєва”</t>
  </si>
  <si>
    <t xml:space="preserve">біля будинку № 13 А по пр. Героїв України </t>
  </si>
  <si>
    <t>”Поточний майданчика під контейнери для збору ТПВ біля будинку № 13 Г по пр. Героїв України у Центральному районі м. Миколаєва”</t>
  </si>
  <si>
    <t xml:space="preserve"> біля будинку № 13 Г по пр. Героїв України </t>
  </si>
  <si>
    <t>”Поточний майданчика під контейнери для збору ТПВ біля будинку №15 по пр. Героїв України у Центральному районі м. Миколаєва”</t>
  </si>
  <si>
    <t xml:space="preserve"> біля будинку №15 по пр. Героїв України </t>
  </si>
  <si>
    <t xml:space="preserve"> "Поточний ремонт майданчика для збору ТПВ біля будинку № 58, 60 по вул. Чкалова у Центральному районі м. Миколаєва" </t>
  </si>
  <si>
    <t xml:space="preserve">біля будинку № 58, 60 по вул. Чкалова </t>
  </si>
  <si>
    <t>”Поточний майданчика під контейнери для збору ТПВ біля будинку №43 по вул. Привільна у Центральному районі м. Миколаєва”</t>
  </si>
  <si>
    <t xml:space="preserve"> біля будинку №43 по вул. Привільна </t>
  </si>
  <si>
    <t xml:space="preserve">"Поточний ремонт майданчика для збору ТПВ по проспекту Героїв України №87А у Центральному районі м. Миколаєва" </t>
  </si>
  <si>
    <t xml:space="preserve"> проспекту Героїв України №87А </t>
  </si>
  <si>
    <t xml:space="preserve">"Поточний ремонт майданчика для збору ТПВ по проспекту Героїв України №87Б у Центральному районі м. Миколаєва" </t>
  </si>
  <si>
    <t xml:space="preserve"> по проспекту Героїв України №87Б </t>
  </si>
  <si>
    <t>Планування земельного полотна</t>
  </si>
  <si>
    <t>ФОП ЦарюкС.В</t>
  </si>
  <si>
    <t>ФОП Сімонян Алік</t>
  </si>
  <si>
    <t>Поточний ремонт доріг</t>
  </si>
  <si>
    <t>Поточний ремонт дороги приватного сектору по вул. Очаківська від вул. Травнева до  вул. Ізмайлівська у  Центральному районі м. Миколаєва</t>
  </si>
  <si>
    <t>вул. Очаківська від вул. Травнева до  вул. Ізмайлівська</t>
  </si>
  <si>
    <t>ФОП Нерсіян Е.С.</t>
  </si>
  <si>
    <t xml:space="preserve">"Поточний ремонт дороги приватного сектору по вул. 7 Слобідська від буд. №28 до пр. Центрального у Центральному районі м. Миколаєва" </t>
  </si>
  <si>
    <t xml:space="preserve">вул. 7 Слобідська від буд. №28 до пр. Центральному </t>
  </si>
  <si>
    <t>Поточний ремонт дороги приватного сектору по вулиці Цілинна від будинку №64 по вулиці Сергія Цвєтка до вулиці Новоросійської у Центральному районі м. Миколаєва</t>
  </si>
  <si>
    <t xml:space="preserve">вул. Цілинна  від будинку №64 по вулиці Сергія Цвєтка до вулиці Новоросійської </t>
  </si>
  <si>
    <t xml:space="preserve">Поточний ремонт тротуару </t>
  </si>
  <si>
    <t>Поточний ремонт тротуару приватного сектору по вулиці Малко-Тирнівська від будинку №82 до вулиці Архітектора Старова у Центральному районі м. Миколаєва”</t>
  </si>
  <si>
    <t xml:space="preserve">по вулиці Малко-Тирнівська від будинку №82 до вулиці Архітектора Старова </t>
  </si>
  <si>
    <t>Поточний ремонт тротуару приватного сектору по вулиці Омеляновича - Павленка від вулиці Плевненська до вулиці 116 Дивізії у Центральному районі м. Миколаєва</t>
  </si>
  <si>
    <t xml:space="preserve"> по вулиці Омеляновича - Павленка від вулиці Плевненська до вулиці 116 Дивізії </t>
  </si>
  <si>
    <t>ФОП Озейчук С. М.</t>
  </si>
  <si>
    <t>Поточний ремонт тротуару приватного сектору по вул. Привільна від буд. №43 до пров. Лютневого у Центральному районі м. Миколаєва</t>
  </si>
  <si>
    <t xml:space="preserve"> по вул. Привільна від буд. №43 до пров. Лютневого </t>
  </si>
  <si>
    <t>ТОВ Неоліт-Брук</t>
  </si>
  <si>
    <t>Поточний ремонт тротуару приватного сектору вздовж буд. № 1 по вул. 1-а Воєнна ріг вул. 68 Десантників у Центральному районі м. Миколаєва</t>
  </si>
  <si>
    <t xml:space="preserve">вздовж буд. № 1 по вул. 1-а Воєнна ріг вул. 68 Десантників </t>
  </si>
  <si>
    <t>ПП Сімонян Алік</t>
  </si>
  <si>
    <t>Поточний ремонт тротуару приватного сектору по вулиці Омеляновича - Павленка від буд. №11/1 до вул. Плевненська у Центральному районі м. Миколаєва</t>
  </si>
  <si>
    <t xml:space="preserve">по вулиці Омеляновича - Павленка від буд. №11/1 до вул. Плевненська </t>
  </si>
  <si>
    <t>Поточний ремонт тротуару приватного сектору по вулиці 9 Воєнна від вулиці 2 Екіпажна до вулиці Теслярська у Центральному районі м. Миколаєва</t>
  </si>
  <si>
    <t xml:space="preserve"> вулиці 9 Воєнна від вулиці 2 Екіпажна до вулиці Теслярська</t>
  </si>
  <si>
    <t>Поточний ремонт тротуару приватного сектору по провулку Обереговий у Центральному районі м. Миколаєва</t>
  </si>
  <si>
    <t xml:space="preserve"> по провулку Обереговий </t>
  </si>
  <si>
    <t>разом</t>
  </si>
  <si>
    <t>Поточний ремонт зупинок громадського транспорту</t>
  </si>
  <si>
    <t>Поточний ремонт зупинки громадського транспорту «За вимогою» на перетині     пр. Центральний з вул. 3 Слобідська у Центральному районі м. Миколаєва з облаштування направляючих пристроїв огорожі»</t>
  </si>
  <si>
    <t>пр. Центральний з вул. 3 Слобідська</t>
  </si>
  <si>
    <t>ТОВ АМНА ТРЕВАЛ</t>
  </si>
  <si>
    <t>Поточний  ремонт зупинок громадського транспорту у Центральному районі за потребою, у т.ч.зупинка Млинна</t>
  </si>
  <si>
    <t>КП ГДМБ</t>
  </si>
  <si>
    <t>поточного ремонту мереж вуличного освітлення</t>
  </si>
  <si>
    <t xml:space="preserve">Послуги з поточного ремонту мереж вуличного освітлення на Тернівській розвилці вздовж Київського шосе в Центральному районі м. Миколаєва </t>
  </si>
  <si>
    <t xml:space="preserve"> на Тернівській розвилці вздовж Київського шосе в Центральному районі м. Миколаєва </t>
  </si>
  <si>
    <t>Послуги з поточного ремонту мереж вуличного освітлення по вул. Відрадна в мкр. Матвіївка в Центральному районі м. Миколаєва (за потребою</t>
  </si>
  <si>
    <t>вул. Відрадна в мкр. Матвіївка</t>
  </si>
  <si>
    <t>Послуги з поточного ремонту мереж вуличного освітлення по вул. Маяковського вздовж будинків №164-168 в мкр. Тернівка в Центральному районі м. Миколаєва  (за потребою)</t>
  </si>
  <si>
    <t xml:space="preserve">вул. Маяковського вздовж будинків №164-168 в мкр. Тернівка </t>
  </si>
  <si>
    <t>Послуги з поточного ремонту мереж вуличного освітлення по вул. Верхня вздовж будинків №1-5А в мкр. Тернівка в Центральному районі м. Миколаєва  (за потребою)</t>
  </si>
  <si>
    <t xml:space="preserve">вул. Верхня вздовж будинків №1-5А в мкр. Тернівка </t>
  </si>
  <si>
    <t xml:space="preserve">поточний ремонт мереж зовнішнього освітлення вул. Горіхова у Центральному районі м. Миколаєва </t>
  </si>
  <si>
    <t>вул. Горіхова</t>
  </si>
  <si>
    <t xml:space="preserve">поточний ремонт мереж зовнішнього освітлення вул.  Зарічна Центральному районі м. Миколаєва </t>
  </si>
  <si>
    <t>вул. Зарічна</t>
  </si>
  <si>
    <t xml:space="preserve">поточний ремонт мереж зовнішнього освітлення вул. Березова Центральному районі м. Миколаєва </t>
  </si>
  <si>
    <t>вул. Березова</t>
  </si>
  <si>
    <t xml:space="preserve">поточний ремонт мереж зовнішнього освітлення вул. Поштова біля буд.172-174, 142,142-А, 196у Центральному районі м. Миколаєва </t>
  </si>
  <si>
    <t>вул. Поштова біля буд.172-174, 142,                   142-А, 196</t>
  </si>
  <si>
    <t xml:space="preserve">поточний ремонт мереж зовнішнього освітлення вул. Кочубея Центральному районі м. Миколаєва </t>
  </si>
  <si>
    <t>вул. Кочубея</t>
  </si>
  <si>
    <t xml:space="preserve">поточний ремонт мереж зовнішнього освітлення пров. 2-й Інгульськийу Центральному районі м. Миколаєва </t>
  </si>
  <si>
    <t>пров. 2-й Інгульський</t>
  </si>
  <si>
    <t xml:space="preserve">поточний ремонт мереж зовнішнього освітлення пров. 1-й Інгульськийу Центральному районі м. Миколаєва </t>
  </si>
  <si>
    <t>пров. 1-й Інгульський</t>
  </si>
  <si>
    <t>ФОП Дейнеко І. В.</t>
  </si>
  <si>
    <t>ПП Тігерон</t>
  </si>
  <si>
    <t>Поточний ремонт дитячого майданчика</t>
  </si>
  <si>
    <t>Поточний ремонт дитячого майданчика в районі будинку 11 А по пров. Парусний у Центральному районі м. Миколаєва</t>
  </si>
  <si>
    <t xml:space="preserve">в районі будинку 11 А по пров. Парусний </t>
  </si>
  <si>
    <t>Поточний ремонт спортивного майданчика по пр. Героїв України в районі будинків 79-79а у Центральному районі м. Миколаєва</t>
  </si>
  <si>
    <t xml:space="preserve">пр. Героїв України в районі будинків 79-79а </t>
  </si>
  <si>
    <t>ФОП Царюк С. В.</t>
  </si>
  <si>
    <t>ПП СТРИТБИЛД</t>
  </si>
  <si>
    <t>Поточний ремонт спортивно-ігрового майданчика в районі будинку № 13 Ж по проспекту Героїв України у Центральному районі м. Миколаєва</t>
  </si>
  <si>
    <t>в районі будинку № 13 Ж по проспекту Героїв України</t>
  </si>
  <si>
    <t>Поточний ремонт дитячого майданчика в районі будинку 1 по вул. Чорноморська у Центральному районі м. Миколаєва"</t>
  </si>
  <si>
    <t xml:space="preserve">в районі будинку 1 по вул. Чорноморська </t>
  </si>
  <si>
    <t>Поточний ремонт дитячого майданчику в районі будинку 141А по пр. Центральний у Центральному районі м. Миколаєва</t>
  </si>
  <si>
    <t xml:space="preserve"> в районі будинку 141А по пр. Центральний </t>
  </si>
  <si>
    <t>”Поточний ремонт дитячого майданчику в районі будинку 141 Б по пр. Центральний у Центральному районі м. Миколаєва</t>
  </si>
  <si>
    <t xml:space="preserve"> в районі будинку 141 Б по пр. Центральний </t>
  </si>
  <si>
    <t>Поточний ремонт дитячого майданчику в районі будинку 68 по вул. Севастопольська у Центральному районі м. Миколаєва</t>
  </si>
  <si>
    <t xml:space="preserve"> в районі будинку 68 по вул. Севастопольська </t>
  </si>
  <si>
    <t>Поточний ремонт дитячого майданчику в районі будинку 66 по вул. Севастопольська у Центральному районі м. Миколаєва</t>
  </si>
  <si>
    <t xml:space="preserve"> в районі будинку 66 по вул. Севастопольська </t>
  </si>
  <si>
    <t>Поточний ремонт дитячого майданчика біля будинку 15 Г по проспекту Героїв України у Центральному районі м. Миколаєва</t>
  </si>
  <si>
    <t xml:space="preserve">біля будинку 15 Г по проспекту Героїв України </t>
  </si>
  <si>
    <t>ПП Прострой-БУД</t>
  </si>
  <si>
    <t>Послуги з поточного ремонту дитячого майданчика по вул.Силікатна,120 у Центральному районі м.Миколаєва</t>
  </si>
  <si>
    <t>по вул.Силікатна,120 у Центральному районі м.Миколаєва</t>
  </si>
  <si>
    <t>Поточний ремонт дитячого майданчику в районі будинку 16 по вул. Садова у Центральному районі м. Миколаєва</t>
  </si>
  <si>
    <t xml:space="preserve">районі будинку 16 по вул. Садова </t>
  </si>
  <si>
    <t>ФОП Медянцев В. В.</t>
  </si>
  <si>
    <t xml:space="preserve">Поточний  ремонт спортивного та дитячого майданчику вул. Архітектора Старова 10-Б у  Центральному районі м. Миколаєва </t>
  </si>
  <si>
    <t>вул. Архітектора Старова,10-Б</t>
  </si>
  <si>
    <t xml:space="preserve">ПП Баркетт </t>
  </si>
  <si>
    <t>Поточний ремонт дитячого майданчика в районі будинку №11 по вул. 6 Слобідська у Центральному районі м. Миколаєва</t>
  </si>
  <si>
    <t xml:space="preserve"> районі будинку №11 по вул. 6 Слобідська </t>
  </si>
  <si>
    <t>ПП Баркетт</t>
  </si>
  <si>
    <t xml:space="preserve"> ”Поточний ремонт дитячого майданчика в районі будинку № 28 по вул. Потьомкінській у Центральному районі м. Миколаєва” </t>
  </si>
  <si>
    <t>вул. Потьомкінській ,28</t>
  </si>
  <si>
    <t>ФОП Ляшенко І.В</t>
  </si>
  <si>
    <t xml:space="preserve">”Поточний ремонт дитячого майданчика в районі будинку № 6 по вул. Мостобудівників у Центральному районі м. Миколаєва” </t>
  </si>
  <si>
    <t xml:space="preserve"> вул. Мостобудівників,6 </t>
  </si>
  <si>
    <r>
      <t xml:space="preserve">Послуги з поточного ремонту на об’єкті: ""Острівець здоров'я міні майданчик для занять фітнесом для дітей та дорослих" по вул. Архітектора Старова, буд. 4"Ж" у Центральному районі м. Миколаєва" ( </t>
    </r>
    <r>
      <rPr>
        <b/>
        <sz val="10"/>
        <color indexed="8"/>
        <rFont val="Times New Roman"/>
        <family val="1"/>
      </rPr>
      <t>Громадський бюджет)</t>
    </r>
    <r>
      <rPr>
        <sz val="10"/>
        <color indexed="8"/>
        <rFont val="Times New Roman"/>
        <family val="1"/>
      </rPr>
      <t xml:space="preserve"> </t>
    </r>
  </si>
  <si>
    <t>вул. Архітектора Старова, буд. 4"Ж"</t>
  </si>
  <si>
    <r>
      <t>«Дитячий майданчик «Азбука безпечної дороги» по вулиці Чкалова 110 «А» в Центральному районі м. Миколаєва»</t>
    </r>
    <r>
      <rPr>
        <b/>
        <sz val="10"/>
        <color indexed="8"/>
        <rFont val="Times New Roman"/>
        <family val="1"/>
      </rPr>
      <t xml:space="preserve"> ( Громадський бюджет)</t>
    </r>
  </si>
  <si>
    <t>вул. Чкалова 110 «А»</t>
  </si>
  <si>
    <t>ТОВ "АМАН ТРЕВЕЛ"</t>
  </si>
  <si>
    <r>
      <t>Поточний  ремонт спортивних та дитячих майданчиків у Центральному районі  "Поточний ремонт тренажерного майданчику для підлітків та дорослих "Be strong" по проспекту Героїв України, 15 у Центральному районі м. Миколаєва"</t>
    </r>
    <r>
      <rPr>
        <b/>
        <sz val="10"/>
        <color indexed="8"/>
        <rFont val="Times New Roman"/>
        <family val="1"/>
      </rPr>
      <t xml:space="preserve"> ( Громадський бюджет)</t>
    </r>
  </si>
  <si>
    <t>проспект Героїв України, 15</t>
  </si>
  <si>
    <t xml:space="preserve">Поточний  ремонт спортивного та дитячого майданчику вул. Архітектора Старова 10-Г у  Центральному районі м. Миколаєва </t>
  </si>
  <si>
    <t>вул. Архітектора Старова,10-Г</t>
  </si>
  <si>
    <t xml:space="preserve">Поточний  ремонт спортивного та дитячого майданчику вул. Архітектора Старова 6-А,6-Б  у  Центральному районі м. Миколаєва </t>
  </si>
  <si>
    <t xml:space="preserve">вул. Архітектора Старова, 6-А, 6-Б </t>
  </si>
  <si>
    <t xml:space="preserve">Поточний  ремонт спортивного та дитячого майданчику вул. Архітектора Старова,4, 6 у Центральному районі м. Миколаєва </t>
  </si>
  <si>
    <t>вул. Архітектора Старова,4, 6</t>
  </si>
  <si>
    <t>ФОП Григорян В. А.</t>
  </si>
  <si>
    <t>Проведення робіт по відновленню асфальтового покриття прибудинкових територій та внутрішньоквартальних проїздів</t>
  </si>
  <si>
    <t>Поточний ремонт прибудинкової території будинку №5 по провулку Парусний у Центральному районі м. Миколаєва</t>
  </si>
  <si>
    <t>провулку Парусний,5</t>
  </si>
  <si>
    <t xml:space="preserve">ФОП Сімонян Алік </t>
  </si>
  <si>
    <t xml:space="preserve">Поточний ремонт дорожнього покриття внутрішньоквартального проїзду за адресою: вул. Велика Морська, 13-15 у Центральному районі м. Миколаєва </t>
  </si>
  <si>
    <t>вул. Велика Морська, 13-15</t>
  </si>
  <si>
    <t>ФОП Арутюнян Ван Рузвельтович</t>
  </si>
  <si>
    <t xml:space="preserve">Поточний ремонт дорожнього покриття внутрішньоквартального проїзду за адресою: вул.ПГУ, 105 у Центральному районі м. Миколаєва </t>
  </si>
  <si>
    <t>ПГУ, 105</t>
  </si>
  <si>
    <t xml:space="preserve">Поточний ремонт дорожнього покриття внутрішньоквартального проїзду за адресою:пров. Парусний,1 у Центральному районі м. Миколаєва </t>
  </si>
  <si>
    <t>пров. Парусний,1</t>
  </si>
  <si>
    <t xml:space="preserve">Поточний ремонт дорожнього покриття внутрішньоквартального проїзду за адресою: вул.вул. Оберегова 6/2 у Центральному районі м. Миколаєва </t>
  </si>
  <si>
    <t>вул. Оберегова 6/2</t>
  </si>
  <si>
    <t xml:space="preserve">Поточний ремонт дорожнього покриття внутрішньоквартального проїзду за адресою: вул. Архітектора Старова, 10-А,10-Б у Центральному районі м. Миколаєва </t>
  </si>
  <si>
    <t>вул. Архітектора Старова, 10-А,10-Б</t>
  </si>
  <si>
    <t xml:space="preserve">Поточний ремонт дорожнього покриття внутрішньоквартального проїзду за адресою: вул. Архітектора Старова, 8-Б у Центральному районі м. Миколаєва </t>
  </si>
  <si>
    <t>вул. Архітектора Старова, 8-Б</t>
  </si>
  <si>
    <t xml:space="preserve">Поточний ремонт дорожнього покриття внутрішньоквартального проїзду за адресою: вул. Безіменна, 97 у Центральному районі м. Миколаєва </t>
  </si>
  <si>
    <t>вул. Безіменна, 97</t>
  </si>
  <si>
    <t xml:space="preserve">Поточний ремонт дорожнього покриття внутрішньоквартального проїзду за адресою: вул. Безіменна, 74 у Центральному районі м. Миколаєва </t>
  </si>
  <si>
    <t>вул. Безіменна, 74</t>
  </si>
  <si>
    <t xml:space="preserve">Поточний ремонт дорожнього покриття внутрішньоквартального проїзду за адресою: ПГУ, 95 у Центральному районі м. Миколаєва </t>
  </si>
  <si>
    <t>ПГУ, 95</t>
  </si>
  <si>
    <t>ФОП Арутюнян Н. Г.</t>
  </si>
  <si>
    <t xml:space="preserve">Поточний ремонт дорожнього покриття внутрішньоквартального проїзду за адресою: вул.ПГУ 75- Б у Центральному районі м. Миколаєва </t>
  </si>
  <si>
    <t>ПГУ 75- Б</t>
  </si>
  <si>
    <t xml:space="preserve">Поточний ремонт дорожнього покриття внутрішньоквартального проїзду за адресою: вул. ПГУ, 23у Центральному районі м. Миколаєва </t>
  </si>
  <si>
    <t>ПГУ, 23</t>
  </si>
  <si>
    <t xml:space="preserve">Поточний ремонт дорожнього покриття внутрішньоквартального проїзду за адресою:вул. Силікатна, 285 у Центральному районі м. Миколаєва </t>
  </si>
  <si>
    <t>вул. Силікатна, 285</t>
  </si>
  <si>
    <t xml:space="preserve">Поточний ремонт дорожнього покриття внутрішньоквартального проїзду за адресою: вул. Потьомкінська,  147 у Центральному районі м. Миколаєва </t>
  </si>
  <si>
    <t>вул. Потьомкінська,  147</t>
  </si>
  <si>
    <t xml:space="preserve">Поточний ремонт дорожнього покриття внутрішньоквартального проїзду за адресою: вул.Потьомкінська,  95,95/1у Центральному районі м. Миколаєва </t>
  </si>
  <si>
    <t>вул. Потьомкінська,  95,95/1</t>
  </si>
  <si>
    <t xml:space="preserve">Поточний ремонт дорожнього покриття внутрішньоквартального проїзду за адресою: вул.Потьомкінська, 93 у Центральному районі м. Миколаєва </t>
  </si>
  <si>
    <t>вул. Потьомкінська,93</t>
  </si>
  <si>
    <t xml:space="preserve">Поточний ремонт дорожнього покриття внутрішньоквартального проїзду за адресою: вул.Потьомкінська, 17 у Центральному районі м. Миколаєва </t>
  </si>
  <si>
    <t>вул. Потьомкінська,17</t>
  </si>
  <si>
    <t xml:space="preserve">Поточний ремонт дорожнього покриття внутрішньоквартального проїзду за адресою: вул. вул. Набережна, 5у Центральному районі м. Миколаєва </t>
  </si>
  <si>
    <t>вул. Набережна, 5</t>
  </si>
  <si>
    <t xml:space="preserve">Поточний ремонт дорожнього покриття внутрішньоквартального проїзду за адресою: вул. Севастопольська, 3 у Центральному районі м. Миколаєва </t>
  </si>
  <si>
    <t>вул. Севастопольська, 3</t>
  </si>
  <si>
    <t xml:space="preserve">Поточний ремонт дорожнього покриття внутрішньоквартального проїзду за адресою: пр. Центральний, 141-А у Центральному районі м. Миколаєва </t>
  </si>
  <si>
    <t xml:space="preserve"> пр. Центральний, 141-А</t>
  </si>
  <si>
    <t>ФОП Арутюнян В. Р.</t>
  </si>
  <si>
    <t xml:space="preserve">Поточний ремонт дорожнього покриття внутрішньоквартального проїзду за адресою: вул.  пр. Центральний,  183-А у Центральному районі м. Миколаєва </t>
  </si>
  <si>
    <t xml:space="preserve"> пр. Центральний,   183-А </t>
  </si>
  <si>
    <t xml:space="preserve">Поточний ремонт дорожнього покриття внутрішньоквартального проїзду за адресою: вул.  пр. Центральний,  177-А у Центральному районі м. Миколаєва </t>
  </si>
  <si>
    <t xml:space="preserve"> пр. Центральний,  177-А</t>
  </si>
  <si>
    <t xml:space="preserve">Поточний ремонт дорожнього покриття внутрішньоквартального проїзду за адресою: вул.Шевченко, 35 у Центральному районі м. Миколаєва </t>
  </si>
  <si>
    <t>вул. Шевченко, 35</t>
  </si>
  <si>
    <t xml:space="preserve">Поточний ремонт дорожнього покриття внутрішньоквартального проїзду за адресою: вул.Шевченко, 61 у Центральному районі м. Миколаєва </t>
  </si>
  <si>
    <t>вул. Шевченко, 61</t>
  </si>
  <si>
    <t xml:space="preserve">Поточний ремонт дорожнього покриття внутрішньоквартального проїзду за адресою: вул.Шевченко, 1 у Центральному районі м. Миколаєва </t>
  </si>
  <si>
    <t>вул. Шевченко, 1</t>
  </si>
  <si>
    <t>Адміністрація Центрального району Миколаївської міської ради</t>
  </si>
  <si>
    <t>ТОВ "Миколаївавтодор"</t>
  </si>
  <si>
    <t>поточний ремонт дорожнього покриття</t>
  </si>
  <si>
    <t>вул. 1 Лінія</t>
  </si>
  <si>
    <t>поточний ремонт доріг приватного сектору Інгульського району</t>
  </si>
  <si>
    <t>планування земельного полотна</t>
  </si>
  <si>
    <t>ФОП Штангей Л.О.</t>
  </si>
  <si>
    <t>технагляд</t>
  </si>
  <si>
    <t>вул. Електронна</t>
  </si>
  <si>
    <t>провул.Космонавтів</t>
  </si>
  <si>
    <t>поточний ремонт мереж зовнішнього освітлення</t>
  </si>
  <si>
    <t xml:space="preserve"> забезпечення функціонування мереж зовнішнього освітлення по пров. Назкрічний</t>
  </si>
  <si>
    <t>пров. Назкрічний</t>
  </si>
  <si>
    <t xml:space="preserve"> забезпечення функціонування мереж зовнішнього освітлення по пров. Ясний</t>
  </si>
  <si>
    <t>пров. Ясний</t>
  </si>
  <si>
    <t xml:space="preserve"> забезпечення функціонування мереж зовнішнього освітлення по вул. Нагірна</t>
  </si>
  <si>
    <t>вул. Нагірна</t>
  </si>
  <si>
    <t xml:space="preserve"> забезпечення функціонування мереж зовнішнього освітлення по вул. Електронна</t>
  </si>
  <si>
    <t xml:space="preserve"> забезпечення функціонування мереж зовнішнього освітлення по пров. Зелений</t>
  </si>
  <si>
    <t>пров. Зелений</t>
  </si>
  <si>
    <t>ФОП Тесьолкін</t>
  </si>
  <si>
    <t>поточний ремонт майданчиків під контейнери для збору ТПВ</t>
  </si>
  <si>
    <t>Утримання та поточний ремонт майданчиків під контейнери для збору ТПВ: вул.1Лінія,1, вул. Театральна, 51</t>
  </si>
  <si>
    <t>вул.1Лінія,1, вул. Театральна, 51</t>
  </si>
  <si>
    <t>Утримання та поточний ремонт майданчиків під контейнери для збору ТПВ: вул.Погранична, 240а</t>
  </si>
  <si>
    <t>вул.Погранична, 240а</t>
  </si>
  <si>
    <t>Утримання та поточний ремонт майданчиків під контейнери для збору ТПВ: пр.Богоявленський, 26</t>
  </si>
  <si>
    <t>пр.Богоявленський, 26</t>
  </si>
  <si>
    <t>Утримання та поточний ремонт майданчиків під контейнери для збору ТПВ: вул.Космонавтів,104</t>
  </si>
  <si>
    <t>вул.Космонавтів,104</t>
  </si>
  <si>
    <r>
      <t>Утримання та поточний ремонт майданчиків під контейнери для збору ТПВ: вул.Херсонське шосе, 4,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94</t>
    </r>
  </si>
  <si>
    <t>вул.Херсонське шосе, 4, 94</t>
  </si>
  <si>
    <t>ТОВ Укрформдон</t>
  </si>
  <si>
    <t xml:space="preserve">Поточний ремонт спортивних,дитячих майданчиків </t>
  </si>
  <si>
    <t>Поточний ремонт спортивних,дитячих майданчиків у дворах, а також у межах мікрорайонів по вул.Електронна, 56,56а,68</t>
  </si>
  <si>
    <t>вул.Електронна, 56,56а,68</t>
  </si>
  <si>
    <t>ТОВ "Домстрой-Нико"</t>
  </si>
  <si>
    <t>Поточний ремонт спортивних,дитячих майданчиків у дворах, а також у межах мікрорайонів вул Космонавтів, 126/1, 126/2</t>
  </si>
  <si>
    <t>вул Космонавтів, 126/1, 126/2</t>
  </si>
  <si>
    <t>ТОВ "Сансетавто"</t>
  </si>
  <si>
    <t>Поточний ремонт спортивних,дитячих майданчиків у дворах, а також у межах мікрорайонів по  вул.Троїцька, 222</t>
  </si>
  <si>
    <t>вул.Троїцька, 222</t>
  </si>
  <si>
    <t>ТОВ "Ніка Добробут"</t>
  </si>
  <si>
    <t xml:space="preserve">поточний ремонт асфальтового покриття внутріквартальних проїздів </t>
  </si>
  <si>
    <t>поточний ремонт асфальтового покриття внутріквартальних проїздів по вул. вул.Троїцька, 222, 220</t>
  </si>
  <si>
    <t>вул.Троїцька, 222, 220</t>
  </si>
  <si>
    <t>ТОВ УКРФОРМДОН</t>
  </si>
  <si>
    <t>поточний ремонт асфальтового покриття внутріквартальних проїздів по вул. вул.Електронна, 56, 56а</t>
  </si>
  <si>
    <t>вул.Електронна, 56, 56а</t>
  </si>
  <si>
    <t>ПП Будівельна фірма Миколаївавтодор</t>
  </si>
  <si>
    <t>поточний ремонт асфальтового покриття внутріквартальних проїздів</t>
  </si>
  <si>
    <t>поточний ремонт асфальтового покриття внутріквартальних проїздів по вул. Космонавтів до буд.56а</t>
  </si>
  <si>
    <t>вул. Космонавтів до буд.56а</t>
  </si>
  <si>
    <t>поточний ремонт асфальтового покриття внутріквартальних проїздів по вул. Чайковського 10, 30а, 32</t>
  </si>
  <si>
    <t>вул. Чайковського 10, 30а, 32</t>
  </si>
  <si>
    <t>поточний ремонт асфальтового покриття внутріквартальних проїздів по вул.Космонавтів, 55,  82, 79, пр.Миру, 60, 62, 62а, 64, 66, 68, 70, 70б, 73</t>
  </si>
  <si>
    <t>вул.Космонавтів, 55,  82, 79, пр.Миру, 60, 62, 62а, 64, 66, 68, 70, 70б, 73</t>
  </si>
  <si>
    <t>поточний ремонт асфальтового покриття внутріквартальних проїздів по вул.Космонавтів, 55,  82, 79, пр.Миру, 60, 62, 62а, 64, 66, 68, 70, 70б, 72</t>
  </si>
  <si>
    <t>вул.Космонавтів, 55,  82, 79, пр.Миру, 60, 62, 62а, 64, 66, 68, 70, 70б, 72</t>
  </si>
  <si>
    <t>поточний ремонт асфальтового покриття внутріквартальних проїздів по вул.Молодогвардійська, 26а, 28а,; пров.Полярний, 2а, 2б, 2в</t>
  </si>
  <si>
    <t>вул.Молодогвардійська, 26а, 28а,; пров.Полярний, 2а, 2б, 2в</t>
  </si>
  <si>
    <t>поточний ремонт асфальтового покриття внутріквартальних проїздів по пр.Миру, 17а, 17б, 17в</t>
  </si>
  <si>
    <t>пр.Миру, 17а, 17б, 17в</t>
  </si>
  <si>
    <t>ФОП Григорян</t>
  </si>
  <si>
    <t>поточний ремонт асфальтового покриття внутріквартальних проїздів по вул. Будівельників, 18а, вул. Чкалова, 215б, вул. Погранична, 244</t>
  </si>
  <si>
    <t>вул. Будівельників, 18а, вул. Чкалова, 215б, вул. Погранична, 244</t>
  </si>
  <si>
    <t>поточний ремонт асфальтового покриття внутріквартальних проїздів по вул. Театральна, 27, 29, 29а, 31, 31а, 33, 33а, 35а, вул. Молодогвардійська, 28, 30, 32, 34, 36, вул. Чайковського, 24, 24а, 26, 28</t>
  </si>
  <si>
    <t>вул. Театральна, 27, 29, 29а, 31, 31а, 33, 33а, 35а, вул. Молодогвардійська, 28, 30, 32, 34, 36, вул. Чайковського, 24, 24а, 26, 28</t>
  </si>
  <si>
    <t>поточний ремонт асфальтового покриття внутріквартальних проїздів по вул. Вінграновського, 41.43.46</t>
  </si>
  <si>
    <t>вул. Вінграновського, 41.43.45</t>
  </si>
  <si>
    <t>поточний ремонт асфальтового покриття внутріквартальних проїздів по вул. Вінграновського, 41.43.45</t>
  </si>
  <si>
    <t>поточний ремонт асфальтового покриття внутріквартальних проїздів по вул. Першотравнева, 63</t>
  </si>
  <si>
    <t>вул. Першотравнева, 63</t>
  </si>
  <si>
    <t>поточний ремонт асфальтового покриття внутріквартальних проїздів по вул. вул.Казарського, 1/1, 1/2, 1/3, 1/4, 3а,5а</t>
  </si>
  <si>
    <t>вул.Казарського, 1/1, 1/2, 1/3, 1/4, 3а,5а</t>
  </si>
  <si>
    <t>поточний ремонт асфальтового покриття внутріквартальних проїздів вул.28 Армії, 2, 2а, 2б, 5</t>
  </si>
  <si>
    <t>вул.28 Армії, 2, 2а, 2б, 4</t>
  </si>
  <si>
    <t>поточний ремонт асфальтового покриття внутріквартальних проїздів вул.28 Армії, 2, 2а, 2б, 4</t>
  </si>
  <si>
    <t xml:space="preserve">поточний ремонт асфальтового покриття внутріквартальних проїздів по пр. Центральний 261, 263, 265 </t>
  </si>
  <si>
    <t>пр. Центральний 261, 263, 265</t>
  </si>
  <si>
    <t>поточний ремонт асфальтового покриття внутріквартальних проїздів вул. Паркова, 1,3а, 6</t>
  </si>
  <si>
    <t>вул. Паркова, 1,3а, 5</t>
  </si>
  <si>
    <t>поточний ремонт асфальтового покриття внутріквартальних проїздів вул. Паркова, 1,3а, 5</t>
  </si>
  <si>
    <t>поточний ремонт асфальтового покриття внутріквартальних проїздів вул. Передова, 54</t>
  </si>
  <si>
    <t>вул. Передова, 54</t>
  </si>
  <si>
    <t>поточний ремонт асфальтового покриття внутріквартальних проїздів по пр.Богоявленський, 29, 31, 33, 41, 43, 45</t>
  </si>
  <si>
    <t>пр.Богоявленський, 29, 31, 33, 41, 43, 45</t>
  </si>
  <si>
    <t>поточний ремонт асфальтового покриття внутріквартальних проїздів по ввул.Авангардна, 47,49-51,53А</t>
  </si>
  <si>
    <t>вул.Авангардна, 47,49-51,53А</t>
  </si>
  <si>
    <t>поточний ремонт асфальтового покриття внутріквартальних проїздів по вул.Авангардна, 47,49-51,53А</t>
  </si>
  <si>
    <t>поточний ремонт асфальтового покриття внутріквартальних проїздів вул. Миколаївська,24,26,28,30,32,34,34б</t>
  </si>
  <si>
    <t>вул. Миколаївська,24,26,28,30,32,34,34б</t>
  </si>
  <si>
    <t>інформація ГРК некоректна</t>
  </si>
  <si>
    <t>Адміністрація Інгульського району Миколаївської міської ради</t>
  </si>
  <si>
    <t>ФОП Басистий Д.О.</t>
  </si>
  <si>
    <t>Поточний ремонт дорожнього одягу дороги по вул. Чехова від буд. №36до провулку 4-й Братський у Корабельному районі м. Миколаєва</t>
  </si>
  <si>
    <t>вул. Чехова від буд. №36до провулку 4-й Братський</t>
  </si>
  <si>
    <t>ФОП Стеценко О.М.</t>
  </si>
  <si>
    <t>Поточний ремонт дорожнього одягу дороги по вул. Глинки у Корабельному районі м. Миколаєва</t>
  </si>
  <si>
    <t>вул. Глинки</t>
  </si>
  <si>
    <t>Поточний ремонт дорожнього покриття по вул. Академіка Рильського від вул. Космонавта Волкова до вул. Литовченка у Корабельному районі м. Миколаєва</t>
  </si>
  <si>
    <t>вул. Академіка Рильського від вул. Космонавта Волкова до вул. Литовченка</t>
  </si>
  <si>
    <t>ФОП Гончаренко А.А.</t>
  </si>
  <si>
    <t>Поточний ремонт дорожнього одягу дороги по вул. Галицинівській від буд. №50 до буд. №56 у Корабельному районі м. Миколаєва</t>
  </si>
  <si>
    <t>вул. Галицинівська від буд. №50 до буд. №56</t>
  </si>
  <si>
    <t>Поточний ремонт дороги по пров. Зимовий у Корабельному районі м. Миколаєва</t>
  </si>
  <si>
    <t>пров. Зимовий</t>
  </si>
  <si>
    <t>Поточний ремонт дорожнього одягу дороги по вул. Прибузька  у Корабельному районі м. Миколаєва</t>
  </si>
  <si>
    <t>вул. Прибузька</t>
  </si>
  <si>
    <t>Поточний ремонт мереж зовнішнього освітлення</t>
  </si>
  <si>
    <t>Поточний ремонт мереж вуличного освітлення по пров. 3 Прибузький у Корабельному районі м. Миколаєва</t>
  </si>
  <si>
    <t>пров. 3 Прибузький</t>
  </si>
  <si>
    <t>Поточний ремонт мереж вуличного освітлення по вул. Новобудівна біля будинку №57/1 у Корабельному районі м. Миколаєва</t>
  </si>
  <si>
    <t>вул. Новобудівна біля будинку №57/1</t>
  </si>
  <si>
    <t>Поточний ремонт мереж вуличного освітлення по пров. Лесі Українки від вул. Лесі Українки до вул. Пшеніцина у Корабельному районі м. Миколаєва</t>
  </si>
  <si>
    <t>пров. Лесі Українки від вул. Лесі Українки до вул. Пшеніцина</t>
  </si>
  <si>
    <t>Поточний ремонт мереж вуличного освітлення по пров. Чернишевського у Корабельному районі м. Миколаєва</t>
  </si>
  <si>
    <t>пров. Чернишевського</t>
  </si>
  <si>
    <t>Поточний ремонт мереж вуличного освітлення по вул. Толстого від вул. Літньої до вул. Приміської у Корабельному районі м. Миколаєва</t>
  </si>
  <si>
    <t>вул. Толстого від вул. Літньої до вул. Приміської</t>
  </si>
  <si>
    <t>Поточний ремонт мереж вуличного освітлення по вул. Запорізька та вул. 4 Козацька в районі спортивного майданчику у Корабельному районі м. Миколаєва</t>
  </si>
  <si>
    <t>вул. Запорізька та вул. 4 Козацька в районі спортивного майданчику</t>
  </si>
  <si>
    <t>Поточний ремонт мереж вуличного освітлення вздовж берегової зони від вул. Новобудівної до вул. Металургів у Корабельному районі м. Миколаєва</t>
  </si>
  <si>
    <t>вул. Новобудівної до вул. Металургів</t>
  </si>
  <si>
    <t>Поточний ремонт мереж вуличного освітлення по Приозерній та вул. Єсеніна в районі дитячого майданчику у мкрн. Причепівка у Корабельному районі м. Миколаєва</t>
  </si>
  <si>
    <t>вул. Приозерна та вул. Єсеніна в районі дитячого майданчику у мкрн. Причепівка</t>
  </si>
  <si>
    <t>Поточний ремонт мереж вуличного освітлення по вул. Рибній – вул. Березовій у Корабельному районі м. Миколаєва</t>
  </si>
  <si>
    <t>вул. Рибна – вул. Березова</t>
  </si>
  <si>
    <t>Поточний ремонт мереж вуличного освітлення по вул. Новобудівній в районі кінологічного майданчику у Корабельному районі м. Миколаєва</t>
  </si>
  <si>
    <t>вул. Новобудівна в районі кінологічного майданчику</t>
  </si>
  <si>
    <t>Поточний ремонт мереж вуличного освітлення по вул. Металургів – пр. Богоявленський, 314 у Корабельному районі м. Миколаєва</t>
  </si>
  <si>
    <t>вул. Металургів – пр. Богоявленський, 314</t>
  </si>
  <si>
    <t>Поточний ремонт мереж вуличного освітлення по пров. Павлова та пров. 1 Прибузький у Корабельному районі м. Миколаєва</t>
  </si>
  <si>
    <t>пров. Павлова та пров. 1 Прибузький</t>
  </si>
  <si>
    <t>ПП "Стритбилд"</t>
  </si>
  <si>
    <t>Поточний ремонт МАФ</t>
  </si>
  <si>
    <t>Поточний ремонт каруселі на дитячому майданчику по вул. Прибузькій біля Станції юннатів у Корабельному районі м. Миколаєва</t>
  </si>
  <si>
    <t>вул. Прибузька біля Станції юннатів</t>
  </si>
  <si>
    <t>Поточний ремонт конструкцій та елементів дитячих та спортивних майданчиків за адресами: пр. Богоявленський,314, 325,327, 327/2, вул. Глинки,2, вул. Лиманська на перетині з вул. Генерала Шепетова у Корабельному районі м. Миколаєва</t>
  </si>
  <si>
    <t>пр. Богоявленський,314, 325,327, 327/2, вул. Глинки,2, вул. Лиманська на перетині з вул. Генерала Шепетова</t>
  </si>
  <si>
    <t>ФОП Петрушков А.Є.</t>
  </si>
  <si>
    <t>Поточний ремонт МАФ  (огорожі по пр. Богоявленському, скла на зупинці та лави з навісом) у Корабельному районі м. Миколаєва</t>
  </si>
  <si>
    <t>територія Корабельного району</t>
  </si>
  <si>
    <t>КП "Обрій-ДКП"</t>
  </si>
  <si>
    <t>Послуги із благоустрію у мкрн. Широка Балка м.Миколаєва (встановлення обмежувальних стовпчиків)</t>
  </si>
  <si>
    <t>мкрн. Ширрка Балка</t>
  </si>
  <si>
    <t xml:space="preserve">Встановлення інформаційних табличок </t>
  </si>
  <si>
    <t>Встановлення лавок, урн</t>
  </si>
  <si>
    <t>Поточний ремонт МАФ у Корабельному районі м. Миколаєва</t>
  </si>
  <si>
    <t>Поточний ремонт МАФ, що здійснюється у Корабельному районі м. Миколаєва у 2019 році</t>
  </si>
  <si>
    <t>Поточний ремонт огорожі по пр. Богоявленському від залізничного переїзду до буд. №311 та по пр. Богоявленському в районі перехрестя з вул. Гагаріна у Корабельному районі м. Миколаєва</t>
  </si>
  <si>
    <t>по пр. Богоявленському від залізничного переїзду до буд. №311</t>
  </si>
  <si>
    <t>Поточний ремонт огорожі по пр. Богоявленському в районі перехрестя з вул. 295 Стрілецької дивізії та вул. Прибузької у Корабельному районі м. Миколаєва</t>
  </si>
  <si>
    <t>вул. 295 Стрілецької дивізії та вул. Прибузька</t>
  </si>
  <si>
    <t>Поточний ремонт контейнерних майданчиків</t>
  </si>
  <si>
    <t>Поточний ремонт контейнерного майданчика в мкр. Кульбакіно по вул. Райдужна, 61 у Корабельному районі м. Миколаєва</t>
  </si>
  <si>
    <t>вул. Райдужна, 61</t>
  </si>
  <si>
    <t>Поточний ремонт контейнерного майданчика по пров. Молодіжний, 2 у Корабельному районі м. Миколаєва</t>
  </si>
  <si>
    <t>пров. Молодіжний, 2</t>
  </si>
  <si>
    <t>Поточний ремонт контейнерних майданчиків по пр. Богоявленському, 293, вул. Металургів, 34-36 у Корабельному районі м. Миколаєва</t>
  </si>
  <si>
    <t>пр. Богоявленський, 293, вул. Металургів, 34-36</t>
  </si>
  <si>
    <t>Поточний ремонт контейнерного майданчика по пр. Богоявленський, 314/2 у Корабельному районі м. Миколаєва</t>
  </si>
  <si>
    <t>пр. Богоявленський, 314/2</t>
  </si>
  <si>
    <t>Поточний ремонт контейнерного майданчика по вул. Айвазовського, 11-б,в у Корабельному районі м. Миколаєва</t>
  </si>
  <si>
    <t>вул. Айвазовського, 11-б</t>
  </si>
  <si>
    <t>Поточний ремонт зупинок</t>
  </si>
  <si>
    <t>Поточний ремонт зупинки громадського транспорту по об’їзній дорозі зупинка «вул. Фруктова» та зупинка «Хлібзавод» у Корабельному районі м. Миколаєва</t>
  </si>
  <si>
    <t>по об’їзній дорозі зупинка «вул. Фруктова» та зупинка «Хлібзавод»</t>
  </si>
  <si>
    <t>Поточний ремонт зупинки громадського транспорту по вул. Айвазовського зупинка «Ліцей» у Корабельному районі м. Миколаєва</t>
  </si>
  <si>
    <t>вул. Айвазовського зупинка «Ліцей»</t>
  </si>
  <si>
    <t>ТОВ "Укрспецоборудование"</t>
  </si>
  <si>
    <t>Поточний ремонт дренажних споруд</t>
  </si>
  <si>
    <t>Прочищення зливової каналізації по пр. Богоявленський біля будинків 325/2 та 325/3 у Корабельному районі м. Миколаєва</t>
  </si>
  <si>
    <t>пр. Богоявленський біля будинків 325/2 та 325/3</t>
  </si>
  <si>
    <t>Поточний ремонт та прочищення зливової каналізації по пр. Богоявленському ріг вул. Л.Українки у Корабельному районі м. Миколаєва</t>
  </si>
  <si>
    <t>пр. Богоявленський ріг вул. Л.Українки</t>
  </si>
  <si>
    <t>ФОП Озейчук С.М</t>
  </si>
  <si>
    <t>Поточний ремонт тротуарів</t>
  </si>
  <si>
    <t>Поточний ремонт тротуару по пр. Богоявленському біля перехрестя з вул. 295-Ї Стрілецької Дивізії у Корабельному районі м. Миколаєва</t>
  </si>
  <si>
    <t xml:space="preserve"> пр. Богоявленський біля перехрестя з вул. 295-Ї Стрілецької Дивізії </t>
  </si>
  <si>
    <t>ТОВ "Кайсер"</t>
  </si>
  <si>
    <t>Поточний ремонт тротуару по пр. Корабелів між будинків №12, 12-в  у Корабельному районі м. Миколаєва</t>
  </si>
  <si>
    <t xml:space="preserve">пр. Корабелів між будинків №12,12-в  </t>
  </si>
  <si>
    <t>Поточний ремонт тротуару по вул. Металургів ріг пр. Богоявленський (з'їзди)  у Корабельному районі м. Миколаєва</t>
  </si>
  <si>
    <t xml:space="preserve">вул. Металургів ріг пр. Богоявленський (з'їзди) </t>
  </si>
  <si>
    <t>ФОП Гончаренко А.В.</t>
  </si>
  <si>
    <t>Поточний ремонт тротуарної частини по  по вул. Новобудівній біля управління соціальних витрат у Корабельному районі м. Миколаєва</t>
  </si>
  <si>
    <t xml:space="preserve">вул. Новобудівна біля управління соціальних витрат </t>
  </si>
  <si>
    <t>Поточний ремонт тротуарної частини по  по вул. Глинки біля дитячого реабілітаційного центру у Корабельному районі м. Миколаєва</t>
  </si>
  <si>
    <t xml:space="preserve"> вул. Глинки біля дитячого реабілітаційного центру</t>
  </si>
  <si>
    <t>Поточний ремонт тротуару по об’їзній дорозі від озера до зупинки «Єсеніна» у Корабельному районі м. Миколаєва</t>
  </si>
  <si>
    <t>по об’їзній дорозі від озера до зупинки «Єсеніна»</t>
  </si>
  <si>
    <t>Поточний ремонт тротуару по вул. Г. Сагайдачного ріг вул. Уральської у Корабельному районі м. Миколаєва</t>
  </si>
  <si>
    <t>вул. Г. Сагайдачного ріг вул. Уральської</t>
  </si>
  <si>
    <t>Поточний ремонт внутрішньоквартальних проїздів</t>
  </si>
  <si>
    <t>Поточний ремонт внутрішньоквартального проїзду по вул. Океанівській, 52-54 (зі східної сторони) у Корабельному районі м. Миколаєва</t>
  </si>
  <si>
    <t>вул. Океанівська, 52-54 (зі східної сторони)</t>
  </si>
  <si>
    <t>Поточний ремонт внутрішньоквартального проїзду по вул. Райдужна, 51 у Корабельному районі м. Миколаєва</t>
  </si>
  <si>
    <t>вул. Райдужна, 51</t>
  </si>
  <si>
    <t>ПП "Тігерон"</t>
  </si>
  <si>
    <t>Поточний ремонт дитячих та спортивних майданчиків</t>
  </si>
  <si>
    <t>Поточний ремонт дитячого майданчику по вул. Олега Ольжича, 3-В у Корабельному районі м. Миколаєва</t>
  </si>
  <si>
    <t>вул. Олега Ольжича, 3-В</t>
  </si>
  <si>
    <t>Поточний ремонт дитячого та спортивного майданчиків по пр. Богоявленський, 295 в Корабельному районі м. Миколаєва</t>
  </si>
  <si>
    <t>пр. Богоявленський, 295</t>
  </si>
  <si>
    <t>Поточний ремонт конструкцій та елементів дитячих майданчиків за адресами: пр. Богоявленський, 325, 327 «Лінкор», пр. Корабелів, 2, 4 «Казка» та по пр. Корабелів, 11 у Корабельному районі м. Миколаєва</t>
  </si>
  <si>
    <t>пр. Богоявленський, 325, 327 «Лінкор», пр. Корабелів, 2, 4 «Казка» та по пр. Корабелів, 11</t>
  </si>
  <si>
    <t>Поточний ремонт дитячого майданчику по вул. Металургів, 34 в Корабельному районі м. Миколаєва</t>
  </si>
  <si>
    <t>вул. Металургів, 34</t>
  </si>
  <si>
    <t>Поточний ремонт дитячого та спортивного майданчиків по пр. Богоявленський, 448 (бібліотека) в Корабельному районі м. Миколаєва</t>
  </si>
  <si>
    <t xml:space="preserve"> пр. Богоявленський, 448</t>
  </si>
  <si>
    <t>ТОВ "Ніковіта-Сервіс"</t>
  </si>
  <si>
    <t>Поточний ремонт огорожі дитячого майданчику, розташованого за адресою: м. Миколаїв, пр. Богоявленський, 323/2</t>
  </si>
  <si>
    <t>пр. Богоявленський, 323/2</t>
  </si>
  <si>
    <t>Поточний ремонт дитячого майданчику по пр. Богоявленський, 323/2 у Корабельному районі м. Миколаєва</t>
  </si>
  <si>
    <t>Адміністрація Корабельного району Миколаївської міської ради</t>
  </si>
  <si>
    <t>ВСЬОГО по поточному ремонту зупинок громадського транспорту</t>
  </si>
  <si>
    <t>ФОП Вернієнко В.В. (3148321699)</t>
  </si>
  <si>
    <t>Поточний ремонт</t>
  </si>
  <si>
    <t>Поточний ремонт зупинки громадського транспорту від Центрального ринку: зуп."Залізничний вокзал"</t>
  </si>
  <si>
    <t>від Центрального ринку: зуп."Залізничний вокзал"</t>
  </si>
  <si>
    <t>Поточний ремонт зупинки громадського транспорту від Центрального ринку: зуп."ЧСЗ"</t>
  </si>
  <si>
    <t>від Центрального ринку: зуп."ЧСЗ"</t>
  </si>
  <si>
    <t>Поточний ремонт зупинки громадського транспорту від Центрального ринку: зуп."Громадянська"</t>
  </si>
  <si>
    <t>від Центрального ринку: зуп."Громадянська"</t>
  </si>
  <si>
    <t>Поточний ремонт зупинки громадського транспорту від Центрального ринку: зуп."1-Слобідська"</t>
  </si>
  <si>
    <t>від Центрального ринку: зуп."1-Слобідська"</t>
  </si>
  <si>
    <t>Поточний ремонт зупинки громадського транспорту від Центрального ринку: зуп."3-Слобідська"</t>
  </si>
  <si>
    <t>від Центрального ринку: зуп."3-Слобідська"</t>
  </si>
  <si>
    <t>Поточний ремонт зупинки громадського транспорту від Центрального ринку: зуп."4-Слобідська"</t>
  </si>
  <si>
    <t>від Центрального ринку: зуп."4-Слобідська"</t>
  </si>
  <si>
    <t>Поточний ремонт зупинки громадського транспорту від Центрального ринку: зуп."6-Слобідська біля буд.119/4"</t>
  </si>
  <si>
    <t>від Центрального ринку: зуп."6-Слобідська біля буд.119/4"</t>
  </si>
  <si>
    <t>Поточний ремонт зупинки громадського транспорту від Центрального ринку: зуп."Погранична біля буд.119-б"</t>
  </si>
  <si>
    <t>від Центрального ринку: зуп."Погранична біля буд.119-б"</t>
  </si>
  <si>
    <t>Поточний ремонт зупинки громадського транспорту від Центрального ринку: зуп."Чкалова"</t>
  </si>
  <si>
    <t>від Центрального ринку: зуп."Чкалова"</t>
  </si>
  <si>
    <t>Поточний ремонт зупинки громадського транспорту від Центрального ринку: зуп."Корабелів"</t>
  </si>
  <si>
    <t>від Центрального ринку: зуп."Корабелів"</t>
  </si>
  <si>
    <t>Поточний ремонт зупинки громадського транспорту від Центрального ринку: зуп."Даля"</t>
  </si>
  <si>
    <t>від Центрального ринку: зуп."Даля"</t>
  </si>
  <si>
    <t>Поточний ремонт зупинки громадського транспорту від Центрального ринку: зуп."Погранична"</t>
  </si>
  <si>
    <t>від Центрального ринку: зуп."Погранична"</t>
  </si>
  <si>
    <t>Поточний ремонт зупинки громадського транспорту від Центрального ринку: зуп."6-Слобідська"</t>
  </si>
  <si>
    <t>від Центрального ринку: зуп."6-Слобідська"</t>
  </si>
  <si>
    <t>Поточний ремонт зупинки громадського транспорту від Центрального ринку: зуп."Образцова"</t>
  </si>
  <si>
    <t>від Центрального ринку: зуп."Образцова"</t>
  </si>
  <si>
    <t>ФОП Хіврич В.Г. (№2285501950)</t>
  </si>
  <si>
    <t xml:space="preserve">Поточний ремонт зупинки громадського транспорту Садова по вул.Кузнецька (походу руху, трамваю до центру) в  Заводському районі м. Миколаєва </t>
  </si>
  <si>
    <t xml:space="preserve"> Садова по вул.Кузнецька (походу руху, трамваю до центру) в  Заводському районі м. Миколаєва </t>
  </si>
  <si>
    <t>ФОП Дейнеко Іван Вікторович (№2989513713)</t>
  </si>
  <si>
    <t>Технічний нагляд</t>
  </si>
  <si>
    <t>ПП "БАРКЕТТ" (42882525)</t>
  </si>
  <si>
    <t>Поточний ремонт зупинки громадського транспорту у  Заводському районі м. Миколаєва по проспекту Центральному в районі будинку № 3, по вул. Крилова в районі будинку № 28 та по пр.Центральному стадіону</t>
  </si>
  <si>
    <t xml:space="preserve"> у  Заводському районі м. Миколаєва по проспекту Центральному в районі будинку № 3, по вул. Крилова в районі будинку № 28 та по пр.Центральному стадіону</t>
  </si>
  <si>
    <t>Поточний ремонт зупинки громадського транспорту біля житлового будинку по вул. Фалеєвська, 91 в  Заводському районі м. Миколаєва</t>
  </si>
  <si>
    <t xml:space="preserve"> біля житлового будинку по вул. Фалеєвська, 91 в  Заводському районі м. Миколаєва</t>
  </si>
  <si>
    <t>ВСЬОГО поточний ремонт зеленої зони</t>
  </si>
  <si>
    <t>ТОВ "ПРОМБАЗИС"</t>
  </si>
  <si>
    <t>Благоустрій зеленої зони біля заводу "Тесмі"</t>
  </si>
  <si>
    <t>зелена зони біля заводу "Тесмі"</t>
  </si>
  <si>
    <t>ВСЬОГО поточний ремонт дорожнього покриття</t>
  </si>
  <si>
    <t>ПП "Будівельна Фірма"Миколаївавтодор" (№42677684)</t>
  </si>
  <si>
    <t>Поточний ремонт дорожнього покриття на вул. Індустріальна (від вул. Крилова до вул. Проектна та по вул. Проектна у Заводському районі м.Миколаєва</t>
  </si>
  <si>
    <t>вул. Індустріальна (від вул. Крилова до вул. Проектна та по вул. Проектна у Заводському районі м.Миколаєва</t>
  </si>
  <si>
    <t>ФОП Чудаков І.В. (№3091119056)</t>
  </si>
  <si>
    <t>Пот.ремонт земляного полотна дороги по вул. Чкалова (на відрізку від вул.Громодянська до вул. 6 Слобідська (непар.бік)</t>
  </si>
  <si>
    <t>вул. Чкалова (на відрізку від вул.Громодянська до вул. 6 Слобідська (непар.бік)</t>
  </si>
  <si>
    <t>Поточний ремонт дорожнього покриття по вул. 8 Поперечна у Заводському районі м.Миколаєва</t>
  </si>
  <si>
    <t>вул. 8 Поперечна у Заводському районі м.Миколаєва</t>
  </si>
  <si>
    <t>Технічний нагляд за поточним ремонтом дорожнього покриття по вул. 7 Поперечна у Заводському районі м.Миколаєва</t>
  </si>
  <si>
    <t>Поточний ремонт дорожнього покриття по вул. 7 Поперечна у Заводському районі м.Миколаєва</t>
  </si>
  <si>
    <t>вул. 7 Поперечна у Заводському районі м.Миколаєва</t>
  </si>
  <si>
    <t>ВСЬОГО поточний ремонт мереж зовнішнього освітлення</t>
  </si>
  <si>
    <t>КП ГДМБ (№ 03331466)</t>
  </si>
  <si>
    <t>Поточний ремонт мереж зовнішнього освітлення на розі вулиць Погранична та М.Морська у Заводському районі м.Миколаєва</t>
  </si>
  <si>
    <t xml:space="preserve"> на розі вулиць Погранична та М.Морська у Заводському районі м.Миколаєва</t>
  </si>
  <si>
    <t>Поточний ремонт мереж зовнішнього освітлення по вул. Покрівська від вул. Левадна до мосту через Бузький лиман в мкр. В.Корениха в Заводському районі м.Миколаєва</t>
  </si>
  <si>
    <t>вул. Покрівська від вул. Левадна до мосту через Бузький лиман в мкр. В.Корениха в Заводському районі м.Миколаєва</t>
  </si>
  <si>
    <t>ФОП Богатирьов А.П.                 (код 2491211419)</t>
  </si>
  <si>
    <t>Оцінка 19 кабельних ліній</t>
  </si>
  <si>
    <t>Оцінка</t>
  </si>
  <si>
    <t>Поточний ремонт мереж зовнішнього освітлення по вул.Клубна біля будинку №10 в мкр.Мала Корениха в Заводському районі м.Миколаєва</t>
  </si>
  <si>
    <t>вул.Клубна біля будинку №10 в мкр.Мала Корениха в Заводському районі м.Миколаєва</t>
  </si>
  <si>
    <t>ТОВ "Светолюкс-Электромонтаж" (2600333242)</t>
  </si>
  <si>
    <t>Поточний ремонт зовнішнього електропостачання розподільчого щита за адресою: вул.Курортна, біля паркової зони у м.Миколаєві</t>
  </si>
  <si>
    <t>вул.Курортна, біля паркової зони у м.Миколаєві</t>
  </si>
  <si>
    <t>ВСЬОГО поточний ремонт внутришньоквартальних проїздів</t>
  </si>
  <si>
    <t>ПКД</t>
  </si>
  <si>
    <t>Поточний ремонт внутрішньоквартальних проїздів  у Заводському районі м.Миколаєва</t>
  </si>
  <si>
    <t>ПКД Поточний ремонт внутрішньоквартальних проїздів  у Заводському районі м.Миколаєва</t>
  </si>
  <si>
    <t>ФОП Царюк С.В.</t>
  </si>
  <si>
    <t>Технічний нагляд за поточним ремонтом дорожнього покриття внквпр.</t>
  </si>
  <si>
    <t>ТОВ "ФОРТУНАІНВЕСТБУД" №41936490</t>
  </si>
  <si>
    <t>Поточний ремонт внутрішньоквартальних проїздів  у Заводському районі м.Миколаєва (вул.Крилова,8)</t>
  </si>
  <si>
    <t xml:space="preserve"> у Заводському районі м.Миколаєва (вул.Крилова,8)</t>
  </si>
  <si>
    <t>Поточний ремонт внутрішньоквартальних проїздів  у Заводському районі м.Миколаєва (вул.Морехідна,3,5)</t>
  </si>
  <si>
    <t>у Заводському районі м.Миколаєва (вул.Морехідна,3,5)</t>
  </si>
  <si>
    <t>Поточний ремонт внутрішньоквартальних проїздів  у Заводському районі м.Миколаєва (вул.Г.Петрової,3)</t>
  </si>
  <si>
    <t xml:space="preserve"> у Заводському районі м.Миколаєва (вул.Г.Петрової,3)</t>
  </si>
  <si>
    <t>Поточний ремонт внутрішньоквартальних проїздів  у Заводському районі м.Миколаєва (вул.Ген.Карпенка,59,61)</t>
  </si>
  <si>
    <t>у Заводському районі м.Миколаєва (вул.Ген.Карпенка,59,61)</t>
  </si>
  <si>
    <t>Поточний ремонт внутрішньоквартальних проїздів  у Заводському районі м.Миколаєва (вул.Крилова,40, 40/1)</t>
  </si>
  <si>
    <t xml:space="preserve">  у Заводському районі м.Миколаєва (вул.Крилова,40, 40/1)</t>
  </si>
  <si>
    <t>Поточний ремонт внутрішньоквартальних проїздів  у Заводському районі м.Миколаєва (вул.Дачна,11)</t>
  </si>
  <si>
    <t xml:space="preserve">  у Заводському районі м.Миколаєва (вул.Дачна,11)</t>
  </si>
  <si>
    <t xml:space="preserve"> Поточний ремонт внутрішньоквартальних проїздів </t>
  </si>
  <si>
    <t>ПП "Будівельна фірма Миколаївавтодор"</t>
  </si>
  <si>
    <t>Поточний ремонт внутрішньоквартальних проїздів  по вул. Нікольська (всі 7 корпусів; внутрішньодворовий простір) у Заводському районі м.Миколаєва</t>
  </si>
  <si>
    <t xml:space="preserve"> вул. Нікольська (всі 7 корпусів; внутрішньодворовий простір) у Заводському районі м.Миколаєва</t>
  </si>
  <si>
    <t>Поточний ремонт внутрішньоквартального проїзду  по пр. Центральний, 16 у Заводському районі м.Миколаєва</t>
  </si>
  <si>
    <t>пр. Центральний, 16 у Заводському районі м.Миколаєва</t>
  </si>
  <si>
    <t>Поточний ремонт внутрішньоквартальних проїздів по вул. Заводська, 13-17 у Заводському районі м.Миколаєва</t>
  </si>
  <si>
    <t>вул. Заводська, 13-17 у Заводському районі м.Миколаєва</t>
  </si>
  <si>
    <t>Поточний ремонт внутрішньоквартальних проїздів  по вул. бульвар Бузький, 3-Б, 5, 5-А, 5-Б, 9, 11 у Заводському районі м.Миколаєва</t>
  </si>
  <si>
    <t>вул. бульвар Бузький, 3-Б, 5, 5-А, 5-Б, 9, 11 у Заводському районі м.Миколаєва</t>
  </si>
  <si>
    <t>Поточний ремонт внутрішньоквартальних проїздів  по вул. Шосейна, 2, 6 у Заводському районі м.Миколаєва</t>
  </si>
  <si>
    <t>вул. Шосейна, 2, 6 у Заводському районі м.Миколаєва</t>
  </si>
  <si>
    <t>ВСЬОГО поточний ремонт дитячих ігрових майданчиків</t>
  </si>
  <si>
    <t>Поточний ремонт  дитячого майданчику по вул. Озерна, 15-Б, 15-В у Заводському районі  м.Миколаєва</t>
  </si>
  <si>
    <t xml:space="preserve"> вул. Озерна, 15-Б, 15-В у Заводському районі  м.Миколаєва</t>
  </si>
  <si>
    <t>Поточний ремонт дитячого ігрового майданчику по вул. Г. Карпенка, 37-Б у Заводському районі м.Миколаєва</t>
  </si>
  <si>
    <t>вул. Г. Карпенка, 37-Б у Заводському районі м.Миколаєва</t>
  </si>
  <si>
    <t>ФОП Поліщук Г.І. (№1892702049)</t>
  </si>
  <si>
    <t>Поточний ремонт спортивного та дитячого  майданчиків по пр.Центральний, 6Б у Заводському районі у м.Миколаєві</t>
  </si>
  <si>
    <t>пр.Центральний, 6Б у Заводському районі у м.Миколаєві</t>
  </si>
  <si>
    <t>Поточний ремонт дитячого спортивно-ігрового майданчика по вул. Шосейна, 1  в Заводському районі у м.Миколаєві</t>
  </si>
  <si>
    <t>вул. Шосейна, 1  в Заводському районі у м.Миколаєві</t>
  </si>
  <si>
    <t>Поточний ремонт дитячого спортивно-ігрового майданчика по вул.Терасна, 13 Б в Заводському районі у м.Миколаєві</t>
  </si>
  <si>
    <t xml:space="preserve"> вул.Терасна, 13 Б в Заводському районі у м.Миколаєві</t>
  </si>
  <si>
    <t>ТОВ "МЕТЕОР-ЮГ"</t>
  </si>
  <si>
    <t>Поточний ремонт приміщення громадського пункту охорони правопорядку по вул.Робоча, буд.7</t>
  </si>
  <si>
    <t>вул.Робоча, буд.7</t>
  </si>
  <si>
    <t>Адміністрація Заводського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</si>
  <si>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</si>
  <si>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</si>
  <si>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</si>
  <si>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</si>
  <si>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</si>
  <si>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ФОП Тихоступ Д.І.</t>
  </si>
  <si>
    <t>поточний ремонт внутрішніх мереж електропостачання</t>
  </si>
  <si>
    <t>адміністративна будівля</t>
  </si>
  <si>
    <t>вул.Адміральська,14</t>
  </si>
  <si>
    <t>ТОВ «ГЕРК»</t>
  </si>
  <si>
    <t>монтаж світильників, встановлення змішувачів, регулювання змивного бачка з ремонтом, очищення вручну внутрішніх поверхонь стін, антисептування стін, огрунтовка стелі та стін, вапняне фарбування, прочищення вентиляційних коробів, встановлення металевих дверних коробок, встановлення вентиляторів та фільтрів повітряних</t>
  </si>
  <si>
    <t>захисна споруда</t>
  </si>
  <si>
    <t>пр.Миру, 2а</t>
  </si>
  <si>
    <t>встановлення фільтрів повітряних</t>
  </si>
  <si>
    <t>вул. 8-Повздовжня,2с</t>
  </si>
  <si>
    <t>Управління з питань надзвичайних ситуацій та цивільного захисту населення Миколаївської міської ради</t>
  </si>
  <si>
    <t>ТОВ "Югбудстрой"</t>
  </si>
  <si>
    <t xml:space="preserve">Поточний ремонт </t>
  </si>
  <si>
    <t xml:space="preserve">Управління державного архітектурно-будівельного контролю Миколаївської міської ради </t>
  </si>
  <si>
    <t>Миколаївська область, місто Миколаїв, вул. Херсонське шосе 48/8</t>
  </si>
  <si>
    <t>Управління державного архітектурно-будівельного контролю Миколаївської міської ради</t>
  </si>
  <si>
    <t>Департамент  архітектури та містобудування Миколаївської міської ради</t>
  </si>
  <si>
    <t>Управління капітального будівництва Миколаївської міської ради</t>
  </si>
  <si>
    <t>Департамент енергетики, енергозбередення та запровадження інноваційних технологій Миколаївської міської ради</t>
  </si>
  <si>
    <t>Всього</t>
  </si>
  <si>
    <t>Відрахування на утримання відділу технагляду за послуги.</t>
  </si>
  <si>
    <t>Відрахування на утримання відділу технагляду за послуги по обєктах</t>
  </si>
  <si>
    <t>КП "ЕЛУ автодоріг"</t>
  </si>
  <si>
    <t>Поточний ремонт дорожнього покриття дороги</t>
  </si>
  <si>
    <t>вул.Колодязна</t>
  </si>
  <si>
    <t>Поточний (дрібний) ремонт дорожнього покриття</t>
  </si>
  <si>
    <t>вул.Нікольска</t>
  </si>
  <si>
    <t>ТОВ "Компанія Євродор"</t>
  </si>
  <si>
    <t>Поточний ремонт дороги</t>
  </si>
  <si>
    <t>вул.Садова</t>
  </si>
  <si>
    <t>ТОФ "Фортунаінвестбуд"</t>
  </si>
  <si>
    <t>пр.Корабелів</t>
  </si>
  <si>
    <t>Поточний ремонт дорожнього покриття</t>
  </si>
  <si>
    <t>вул.Паромний узвіз</t>
  </si>
  <si>
    <t>ПП "БФ"Миколаївавтодор"</t>
  </si>
  <si>
    <t>вул.28 Армії</t>
  </si>
  <si>
    <t>вул.Райдужна</t>
  </si>
  <si>
    <t>вул.Знам'янська</t>
  </si>
  <si>
    <t>вул.9 Воєнна ріг вул.Привільна</t>
  </si>
  <si>
    <t>вул. Старофортечна</t>
  </si>
  <si>
    <t>Інші об'єкти дорожньої інфракстуктури</t>
  </si>
  <si>
    <t>КП "ЕЛУ автодоріг", ПП "БФ"Миколаївавтодор"</t>
  </si>
  <si>
    <t>Ліквідація місць концентрації ДТП по вулицях міста</t>
  </si>
  <si>
    <t xml:space="preserve">м.Миколаїв </t>
  </si>
  <si>
    <t>ТОВ "ОЛДІ"</t>
  </si>
  <si>
    <t>Поточний ремонт об'єкту благоустрою розташ. на розі вул. Садова та вул. Чкалова</t>
  </si>
  <si>
    <t>руг вул.Садової та вул. Чкалова</t>
  </si>
  <si>
    <t>ЕЛУ автодорог</t>
  </si>
  <si>
    <t>Послуги з прибирання та підмвтання вулиць(зимове утримання вулично-шляхової мережі м.Миколаєва).</t>
  </si>
  <si>
    <t>Послуги з ремонту і технічного обслуговування електричного і механічного устаткування будівель (Послуги з ремонту і технічного обслуговування електричного і механічного устаткування штучних споруд)</t>
  </si>
  <si>
    <t>Лісозаготівельні послуги ( Надання послуг з викорчовування пнів в м.Миколаєві)</t>
  </si>
  <si>
    <t>Послуги з ремонту, технічного обслуговування дорожньої інфраструктури і пов'язаного обладнання ту супутні послуги (Поточний ремонт тротуару )</t>
  </si>
  <si>
    <t>пр.Героїв України</t>
  </si>
  <si>
    <t>Послуги з технічного огляду та випробувань ( надання послуг з утримання штучних споруд )</t>
  </si>
  <si>
    <t>Південнобузький міст, Інгульський міст, Аляудська переправа, причал на Каботажном молу</t>
  </si>
  <si>
    <t xml:space="preserve">Поточний ремонт мереж зливової каналізації </t>
  </si>
  <si>
    <t>вул.Чкалова</t>
  </si>
  <si>
    <t>вул.Громадянська</t>
  </si>
  <si>
    <t>вул.Погранична</t>
  </si>
  <si>
    <t>вул.Новозаводська</t>
  </si>
  <si>
    <t>вул.Херсонське шосе</t>
  </si>
  <si>
    <t>вул.1 Повздовжня</t>
  </si>
  <si>
    <t>вул.2 Набережна</t>
  </si>
  <si>
    <t>вул.Космонавтів</t>
  </si>
  <si>
    <t>вул.Велика Морська</t>
  </si>
  <si>
    <t>вул.Богородична</t>
  </si>
  <si>
    <t>вул.Озерна</t>
  </si>
  <si>
    <t>вул.Біла</t>
  </si>
  <si>
    <t>вул.Соборна</t>
  </si>
  <si>
    <t>вул.6 Слобідська</t>
  </si>
  <si>
    <t>вул.Нова</t>
  </si>
  <si>
    <t>Послуги з викорчовування пнів</t>
  </si>
  <si>
    <t>Поточний ремонт огорожі шляхопроводу ( після ДТП )</t>
  </si>
  <si>
    <t>Мікрорайон Широка балка</t>
  </si>
  <si>
    <t>пр.  Центральний ріг вул.Громадянська</t>
  </si>
  <si>
    <t>Послугиз обслуговування наземних видів транспорту (Послуги з чергування робітників при зимовому утриманні вулично-шляхової мережі)</t>
  </si>
  <si>
    <t>Послуги з прибирання снігу(Послуги з прибирання снігу з доріг в м.Миколаєві).</t>
  </si>
  <si>
    <t>Послуги з прибирання льоду(Послуги з прибирання наледі з доріг в м.Миколаєві).</t>
  </si>
  <si>
    <t>Послуги з прибирання та підмітання вулиць (послуги з зимового утримання вулично-шляхової мережі м.Миколаєва)</t>
  </si>
  <si>
    <t>Послуги з ремонту, технічного обслуговування дорожньої інфраструктури і пов'язаного обладнання ту супутні послуги (Поточний ремонт )</t>
  </si>
  <si>
    <t>Аляудська переправа</t>
  </si>
  <si>
    <t>Виконані роботи з поточного ремонту мереж зливової каналізації</t>
  </si>
  <si>
    <t>Поточний ремонт штучної споруди</t>
  </si>
  <si>
    <t>штучна споруда через Вітовську Балку</t>
  </si>
  <si>
    <t>ПП "Вахта-Сервіс М"</t>
  </si>
  <si>
    <t>Ппослуги з охорони</t>
  </si>
  <si>
    <t>Інгульський міст</t>
  </si>
  <si>
    <t>Послуги з охорони</t>
  </si>
  <si>
    <t>Південнобузький міст</t>
  </si>
  <si>
    <t>ТОВ "Торговий Дім Кип і Ко"</t>
  </si>
  <si>
    <t>Випарена сіль і чистий хлорид натрію ( сіль технічна)</t>
  </si>
  <si>
    <t>ФОП Кудлай Є.В.</t>
  </si>
  <si>
    <t>Ппридбання лавок паркових</t>
  </si>
  <si>
    <t>ТОВ "Альта Логістік Україна"</t>
  </si>
  <si>
    <t>Придбання контейнерів на самонаправляючих колесах для збору ТПВ</t>
  </si>
  <si>
    <t>ТОВ "Неоліт-Брук"</t>
  </si>
  <si>
    <t>Поточний ремонт тротуару</t>
  </si>
  <si>
    <t>ріг вул.1-Військова та 68 Десантників</t>
  </si>
  <si>
    <t>ТОВ "ЕКОТОПТРАНС"</t>
  </si>
  <si>
    <t>Вул.Шосейна від проспекту Центральний до вул.Нікольська (парна сторона)</t>
  </si>
  <si>
    <t>Вул.Соборна від вул.Адмірала Макарова до проспекту Центральний (парний бік)</t>
  </si>
  <si>
    <t>пр.Центральний від вул.Рюміна до вул.8 Березня (парна сторона)</t>
  </si>
  <si>
    <t>ТОВ "Благоустрій-НК"</t>
  </si>
  <si>
    <t>Проспект Центральний</t>
  </si>
  <si>
    <t>вул.Молодогвардійська від вул.Чайковського по проспекту Богоявленського (непарна сорона)</t>
  </si>
  <si>
    <t>вул.Адмірала Макарова ріг вул.Рюміна</t>
  </si>
  <si>
    <t>вул.Генерала Карпенка</t>
  </si>
  <si>
    <t xml:space="preserve">Встановлення засобів організації дорожнього руху </t>
  </si>
  <si>
    <t>КП "Миколаївкомунтранс"</t>
  </si>
  <si>
    <t>Утримання сміттєзвалищ ( Надання послуг з утримання звалища опалого листя в глиняному кар'єрі, розташованому біля міського цвинтаря поблизу с.Мішково-Погорілове)</t>
  </si>
  <si>
    <t>Міський цвинтар</t>
  </si>
  <si>
    <t>с.Мішково-Погорілове</t>
  </si>
  <si>
    <t>КП ММР "Миколаївські парки"</t>
  </si>
  <si>
    <t xml:space="preserve">Послуги з озеленення територій та утримання зелених насаджень (санітарне очищення, обрізка, знесення дерев, викошування газонів та длгляд за зеленими насадженнями) </t>
  </si>
  <si>
    <t>Парк "Перемога" з пляжем "Стрілка", сквер "Єкатериненський", пам'ятний знак "Темвод", коло "Тернівське</t>
  </si>
  <si>
    <t>Послуги з озеленення територій та утримання зелених насаджень( догляд за об'єктом благоустрію: Флотський узвіз з фонтаном та питним фонтанчиком "Лев"</t>
  </si>
  <si>
    <t>Флотський узвіз з фонтаном та питним фонтанчиком "Лев"</t>
  </si>
  <si>
    <t>Послуги з озеленення територій та утримання зелених насаджень</t>
  </si>
  <si>
    <t>Центральний район</t>
  </si>
  <si>
    <t>ТОВ "Фаворіт-Люкс"</t>
  </si>
  <si>
    <t>Покрівельні роботи та інші спеціалізовані будівельні роботи ( Поточний ремонт огорожі цвинтаря по вул.Зенітників в м.Миколаєві)</t>
  </si>
  <si>
    <t>Цвинтар по вул.Зенітників</t>
  </si>
  <si>
    <t>КП ММР "Миколаївська ритуальна</t>
  </si>
  <si>
    <t>Поховальні та супутні послуги (догляд за кладовищами).</t>
  </si>
  <si>
    <t>Центральне міське кладовище, Нове Корабельне кладовище, Нове Матвіївське кладовище</t>
  </si>
  <si>
    <t>КСМЕП </t>
  </si>
  <si>
    <t xml:space="preserve">Нанесення поперечної дорожньої розмітки </t>
  </si>
  <si>
    <t>Послуги з ремонту, технічного обслуговування дорожньої інфраструктури і пов'язаного обладнання та супутні послуги ( утримання технічних засобів регулювання дорожнім рухом в м.Миколаєві).</t>
  </si>
  <si>
    <t>ТОВ "Вектор-Гранд"</t>
  </si>
  <si>
    <t>Послуги у сфері ландшафтної архітектури ( Послуги з поточного ремонту об'єкту благоустрою розташованого на території Флотського бульвару в м.Миколаєві)</t>
  </si>
  <si>
    <t>Флотський бульвар</t>
  </si>
  <si>
    <t>ПАТ "МИКОЛАЇВГАЗ" </t>
  </si>
  <si>
    <t>Оплата за розподіл природного газу.</t>
  </si>
  <si>
    <t>ТОВ "МИКОЛАЇВГАЗ ЗБУТ"</t>
  </si>
  <si>
    <t>Оплата за газ природний для потреб ДЖКГ ММР.</t>
  </si>
  <si>
    <t>ТОВ "Миколаївська електропоста</t>
  </si>
  <si>
    <t>Оплата за активну електренергію.</t>
  </si>
  <si>
    <t>ТОВ "УКРБІОРОСТ"</t>
  </si>
  <si>
    <t>Лісозаготівельні послуги ( Послуги з валки дерев)</t>
  </si>
  <si>
    <t>ТОВ "Техно-дім груп" </t>
  </si>
  <si>
    <t xml:space="preserve">Послуги з прибирання тротуарів </t>
  </si>
  <si>
    <t>Південнобузькоий та Інгульський мости</t>
  </si>
  <si>
    <t>Послуги з озеленення територій та утримання зелених насаджень (догляд за об'єктом благоустрою)</t>
  </si>
  <si>
    <t>Сквер ім.Ю.І.Макарова</t>
  </si>
  <si>
    <t>Сквер "Каскадний"</t>
  </si>
  <si>
    <t xml:space="preserve">Сквер "Вербочка" з пляжем "Прибій" 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</si>
  <si>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благоустрою)</t>
  </si>
  <si>
    <t>Заводський район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</si>
  <si>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)</t>
  </si>
  <si>
    <t>Інгульський район</t>
  </si>
  <si>
    <t>ТОВ "Укрспецобладнання"</t>
  </si>
  <si>
    <t>Послуги з інспектування каналізаційних колекиорів і консультаційні послуги з питання очищення стічних вод в м.Миколаєві.</t>
  </si>
  <si>
    <t>ТОВ "Укртранссервіс-ГРУП"</t>
  </si>
  <si>
    <t>Послуги за постачання природного газу.</t>
  </si>
  <si>
    <t>Послуги замовлення  (бронювання ) потужності природного газу</t>
  </si>
  <si>
    <t>ТОВ Проектбудсервіс - Юг</t>
  </si>
  <si>
    <t>Послуги з озеленення територій та утримання зелених насаджень ( санітарне очищення, коронування, обрізка, знесення дерев, викошування газонів та догляд за зеленими насадженнями на об'єктах благоустрою )</t>
  </si>
  <si>
    <t>Корабельний район</t>
  </si>
  <si>
    <t>Послуги з озеленення територій та утримання зелених насаджень (догляд за об'єктом благоустрою:сквер "Вербочка" з пляжем "Прибій")</t>
  </si>
  <si>
    <t>Сквер "Вербочка" з пляжем "Прибій"</t>
  </si>
  <si>
    <t>Послуги з озеленення територій та утримання зелених насаджень ( санітарне очищення, коронування, обрізка, знесення дерев, викошування газонів та догляд за зеленими насадженнями на об'єктах благоустрою)</t>
  </si>
  <si>
    <t>ТОВ "Південьагрохімсервіс"</t>
  </si>
  <si>
    <t>ТОВ "Арника-ЮГ"</t>
  </si>
  <si>
    <t>Послуги з поточного ремонту плиткового покриття, розташованого на території парку-пам'ятки садово-паркового мистецтва "Флотський бульвар"(Нижня Набережна)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</si>
  <si>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та багаторічними квітами на об'єктах благоустрою)</t>
  </si>
  <si>
    <t>Послуги з поточного ремонту об'єкту благоустрою розташованого на розі вул.Нікольська та вул.Адміральська в м.Миколаєві</t>
  </si>
  <si>
    <t xml:space="preserve">поточний ремонт об'єкту благоустрою </t>
  </si>
  <si>
    <t>перехрестя вул.Набережна та вул.Лягіна</t>
  </si>
  <si>
    <t>бульварна частина вул.Чкалова на перехресті з вул.Садова (парна сторна)</t>
  </si>
  <si>
    <t>бульварна частина вул.Чкалова на перехресті з вул.Садова (непарна сторна)</t>
  </si>
  <si>
    <t>Поточний ремонт плиткового покриття та малих архітектурних форм</t>
  </si>
  <si>
    <t>сквер "Каштановий"</t>
  </si>
  <si>
    <t>парк-пам'ятка садово-паркового мистецтва "Юних Героїв"</t>
  </si>
  <si>
    <t>ТОВ"МИКОЛАЇВЗЕЛЕНГОСП"</t>
  </si>
  <si>
    <t>Послуги з озеленення територій та утримання зелених насаджень ( санітарне очищення, санітарна та омолоджувальна обрізка дерев, знесення дерев, викошування газонів та догляд за зеленими насадженнями на об'єктах благоустрою)</t>
  </si>
  <si>
    <t>Послуги з озеленення територій та утримання зелених насаджень ( санітарне очищення, обрізк, знесення дерев, викошування газонів, догляд за зеленими насадженнями та багаторічними квітами на об'єктах благоустрою)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</si>
  <si>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по бульварній частині пр.Центральний ( від вул.Карпенко до пр.Богоявленського ) та зелена зона пр.Богоявленський ( від пр.Центральний до шляхопроводу)</t>
  </si>
  <si>
    <t>Бульварні частини пр.Центральний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</si>
  <si>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нв бульварних частинах: вул.Чкалова, вул.Погранична та зелена зона по вул.Кузнецької)</t>
  </si>
  <si>
    <t>Бульварні частини: вул.Чкалова, вул.Погранична, вул.Кузнецька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</si>
  <si>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бульварних частинах: вул.Погранична, вул.Чкалова, вул.Садова (від вул.Чкалова до вул.Кузнецької), зелена зона по вул.Садова-Погранична, коло по вул.Садова-Чкалова, коло по вул.Погранична-пр.Богоявленський )</t>
  </si>
  <si>
    <t>Бульварні частини: вул.Погранична, вул.Чкалова, вул.Садова,вул.Кузнецька, пр.Богоявленський</t>
  </si>
  <si>
    <t>м.Миколаїв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</si>
  <si>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пр.Центральний  та скверів: "Квітковий", "Захисників правопорядку", ім.Лягіна, "Трояндовий", "Екологіс", ім.Александрова, коло "пушкінське", Еліпс, коло"Садове", коло на 11 Слобідській)</t>
  </si>
  <si>
    <t>пр-т Центральний, сквери "Квітковий", "Захисників правопорядку", ім.Лягіна, "Трояндовий", "Екологіс", ім.Александрова, коло "Пушкінське", Еліпс, коло"Садове", коло на 11 Слобідській</t>
  </si>
  <si>
    <t>Площа Соборна</t>
  </si>
  <si>
    <t>Сквер біля ОДА</t>
  </si>
  <si>
    <t>Послуги з озеленення територій та утримання зелених насаджень (догляд за об'єктом благоустрою:сквер ім.68 десантників з пам'ятником та меморіалом)</t>
  </si>
  <si>
    <t>Сквер ім. 68 десантників</t>
  </si>
  <si>
    <t>Сквер ім. Пушкіна</t>
  </si>
  <si>
    <t>Сквер Аркасівський</t>
  </si>
  <si>
    <t>Послуги з озеленення територій та утримання зелених насаджень (догляд за об'єктом благоустрою:сквер "Каскадний" з фонтаном розташованиий в м.Миколаєві)</t>
  </si>
  <si>
    <t>Послуги з озеленення територій та утримання зелених насаджень ( придбання, посадка та за квітниками розташованими на об'єктах благоустрою закріплених за ДЖКГ ММР)</t>
  </si>
  <si>
    <t xml:space="preserve"> Об'єкти благоустрою закріплених за ДЖКГ ММР</t>
  </si>
  <si>
    <t>ТОВ "Будсерівс-НК"</t>
  </si>
  <si>
    <t>Управління поліції охорони в Миколаївській області</t>
  </si>
  <si>
    <t>Послуги з охорони Південнобузького мосту.</t>
  </si>
  <si>
    <t xml:space="preserve"> Південнобузький  міст</t>
  </si>
  <si>
    <t>Послуги з охорони Інгульського мосту.</t>
  </si>
  <si>
    <t xml:space="preserve"> Інгульський міст</t>
  </si>
  <si>
    <t>ПП "Агро Рост Буд"</t>
  </si>
  <si>
    <t xml:space="preserve">поточний ремонт  об'єкту благоустрою </t>
  </si>
  <si>
    <t>сквер "Каскадний"</t>
  </si>
  <si>
    <t>ФОП Негура І.В.</t>
  </si>
  <si>
    <t>Бульварні частини: вул.Погранична, вул.Чкалова, вул.Садова,вул.Кузнецька</t>
  </si>
  <si>
    <t>ФОП Бутук І. М.</t>
  </si>
  <si>
    <t>Послуги з озеленення територій та утримання зелених насаджень (догляд за об'єктом благоустрою:сквер "Каштановий" з пам'ятником та фонтаном)</t>
  </si>
  <si>
    <t>Сквер "Каштановий"</t>
  </si>
  <si>
    <t>Послуги з озеленення територій та утримання зелених насаджень (догляд за об'єктом благоустрою:сквер ім.Чорновола з фонтаном та вазами)</t>
  </si>
  <si>
    <t xml:space="preserve">Сквер ім.Чорновола </t>
  </si>
  <si>
    <t>Послуги з озеленення територій та утримання зелених насаджень (догляд за об'єктом благоустрою:сквер Ради Європи з фонтанами, водопроводами та квітниками)</t>
  </si>
  <si>
    <t>Сквер Ради Європи</t>
  </si>
  <si>
    <t>Послуги з озеленення територій та утримання зелених насаджень (догляд за об'єктом благоустрою:сквер ім.Ю.І.Макарова  з фонтаном та квітниками, розташованиий в м.Миколаєві)</t>
  </si>
  <si>
    <t>Послуги з озеленення територій та утримання зелених насаджень (придбання, посадка та догляд за квітами в термочашах на об'єктах благоустрою закріплених за департаментом ЖКГ ММР)</t>
  </si>
  <si>
    <t>ФОП Панасюк П.Г.</t>
  </si>
  <si>
    <t xml:space="preserve">Будівництво трубопроводів, ліній зв'язку та електропередач, шосе, доріг, аеродромів і залізничних доріг; вирівнювання поверхонь (Поточний ремонт покриття проїздів та пішохідних доріжок на міському кладовищі (біля селища Мішково-Погорілове) </t>
  </si>
  <si>
    <t>Міське кладовище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</si>
  <si>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)</t>
  </si>
  <si>
    <t>Нове кладовище в мкр.Матвіївка</t>
  </si>
  <si>
    <t>мкр.Матвіївка</t>
  </si>
  <si>
    <t>Руйнування та знесення бцдівель і земляні роботи ( Вибірка непридатного грунту )</t>
  </si>
  <si>
    <t>Знесення об'єктів по вул.Чкалова</t>
  </si>
  <si>
    <t>Послуги у сфері ландшафтної архітектури ( Надання послуг з поточного ремонту колокольні)</t>
  </si>
  <si>
    <t>Колокольня "Алея слави" парк "Перемоги"</t>
  </si>
  <si>
    <t>ПП "БФ "Миколаївавтодор"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</si>
  <si>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на старому Корабельному кладовищі в м.Миколаєві)</t>
  </si>
  <si>
    <t>Проїзди та пішохідні доріжки на старому Корабельному кладовищі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</si>
  <si>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на новому Корабельному кладовищі в м.Миколаєві)</t>
  </si>
  <si>
    <t>Проїзди та пішохідні доріжки на новому Корабельному кладовищі</t>
  </si>
  <si>
    <t>вул.Космонавтів (парний бік)</t>
  </si>
  <si>
    <t>вул.Космонавтів (непарний бік)</t>
  </si>
  <si>
    <t>ФОП Яковенко А.Ю.</t>
  </si>
  <si>
    <t>Поточний ремонт бульварної частини</t>
  </si>
  <si>
    <t>пров.Образцова від вул.Декабристів до вул.Лягіна (парний бік)</t>
  </si>
  <si>
    <t>вул.Чайковського (непарний бік)</t>
  </si>
  <si>
    <t>вул.Лягіна (непарний бік)</t>
  </si>
  <si>
    <t>вул.Садова (непарний бік)</t>
  </si>
  <si>
    <t>вздовж буд.47 по пр.Богоявленський</t>
  </si>
  <si>
    <t>Поточний ремонт плиткового покриття</t>
  </si>
  <si>
    <t>бульварна частина вул.Садова на перехресті з пр.Центральним</t>
  </si>
  <si>
    <t>ФОП Полторацький О.Г.</t>
  </si>
  <si>
    <t>Поточний ремонт малих архітектурних форм</t>
  </si>
  <si>
    <t>зелена зона на перехресті вул.Соборної з пр.Центральним</t>
  </si>
  <si>
    <t>ФОП Мироненко А.А.</t>
  </si>
  <si>
    <t>вул.Київська ( непарний бік)</t>
  </si>
  <si>
    <t>вул.Спаська  від вул.Громадянська до вул.Інженерна ( непарний бік)</t>
  </si>
  <si>
    <t>вул.Інженерна ( непарний бік)</t>
  </si>
  <si>
    <t>Поточний ремонт об'єкту благоустрою</t>
  </si>
  <si>
    <t>парк-пам'ятка садово-паркового мистецтва "Флотський бульвар"</t>
  </si>
  <si>
    <t xml:space="preserve">сквер біля музею суднобудівання та флоту </t>
  </si>
  <si>
    <t>монумент "Стела пам'яті" вул.Адміральська,22</t>
  </si>
  <si>
    <t>зелена зона по вул.Велика Морська біля буд.№13</t>
  </si>
  <si>
    <t>ФОП Курляк О.В.</t>
  </si>
  <si>
    <t>Поточний ремонт плиткового покриття бульварної частини</t>
  </si>
  <si>
    <t>проспект Центральний на перехресті з вул.Соборною</t>
  </si>
  <si>
    <t>проспект Центральний</t>
  </si>
  <si>
    <t>Поточний (дрібний) ремонт тротуару</t>
  </si>
  <si>
    <t>вул.6 Слобідська поблизу будинку №11</t>
  </si>
  <si>
    <t>Вул.Нікольська</t>
  </si>
  <si>
    <t>вул.Московська</t>
  </si>
  <si>
    <t>вул.Потьомкінська</t>
  </si>
  <si>
    <t>вул.Адмірала Макарова від вул.Соборна до вул.Московська</t>
  </si>
  <si>
    <t>вул.Корабелів ріг вул.Сінна</t>
  </si>
  <si>
    <t>вул.Фалеєвська</t>
  </si>
  <si>
    <t>вул.Набережна</t>
  </si>
  <si>
    <t>ФОП Дейнеко І.В</t>
  </si>
  <si>
    <t xml:space="preserve">Руйнування та знесення будівель і земляні роботи ( Поточний ремонт меморіального комплексу </t>
  </si>
  <si>
    <t>Меморіальний комплекс воїнам-визволителям ВВв на братській могилі загибоим-воїнам на Староруському цвинтарі</t>
  </si>
  <si>
    <t>Послуги з ремонту, технічного обслуговування дорожньої інфраструктури і пов'язаного обладнання та супутні послуги ( Поточний ремонт покриттятехнічної смуги вздовж проїзної частини по вул.Севастопольськавід вул.Садова до вул.1 Слобідська в м.Миколаєві</t>
  </si>
  <si>
    <t>Технічна суга вздовж проїзної частини по вул.Севастопольска</t>
  </si>
  <si>
    <t>Послуги з ремонту, технічного обслуговування дорожньої інфраструктури і пов'язаного обладнання та супутні послуги ( Поточний ремонт тротуару по вул.Московська від вул.Чкалова до вул.Дунаєва (непарний бік) в м.Миколаєві</t>
  </si>
  <si>
    <t>Тротуар по вул.Московська</t>
  </si>
  <si>
    <t>вул.Адміральська ріг вул.Соборна</t>
  </si>
  <si>
    <t>вул.1 Слобідська біля будинку №2</t>
  </si>
  <si>
    <t>вул.Обсерваторна від вул.Адмірала Макарова до вул.Шевченка (непарний бік)</t>
  </si>
  <si>
    <t>вул.Будівельників ріг проспекту Миру</t>
  </si>
  <si>
    <t>вул.Потьомкінська від вул.Садова до буд.№113</t>
  </si>
  <si>
    <t>ФОП Агафонова Т.О.</t>
  </si>
  <si>
    <t>Послуги у сфері ландшафтної архітектури ( Послуги з поточного ремонту фонтанів у сквері по вул.Садовій (бульварна частина) від вул.Нікольської до вул.Потьомкінської)</t>
  </si>
  <si>
    <t>Сквер "Радт Європи"</t>
  </si>
  <si>
    <t>поточний ремонт плиткового покриття</t>
  </si>
  <si>
    <t>сквер "Ради Європи"</t>
  </si>
  <si>
    <t>сквер подвигу ліквідаторів аварії на ЧАЕС</t>
  </si>
  <si>
    <t>поточний ремонт малих архітектурних форм</t>
  </si>
  <si>
    <t>зелена зона по пр.Миру</t>
  </si>
  <si>
    <t>сквер ім.В.М.Чорновола</t>
  </si>
  <si>
    <t>ФОП Аніщеко С.В.</t>
  </si>
  <si>
    <t>Сквер ім.68 Десантників, сквер біля будівлі блдержадміністрації,розташованих в Центральному районі</t>
  </si>
  <si>
    <t>пр.Героїв України від пішохідного мосту до буд.№5А</t>
  </si>
  <si>
    <t>пр.Героїв України від буд.№1 до алеї Слави</t>
  </si>
  <si>
    <t>вул.Архітектора Старова біля буд.№10Б</t>
  </si>
  <si>
    <t>вул.Велика Морська біля буд.№13</t>
  </si>
  <si>
    <t>Вул.Чкалова у дв.буд.№98А-108 в м.Мик.</t>
  </si>
  <si>
    <t>Вул.Терасна взд.буд.№1-13 в м.Мик.</t>
  </si>
  <si>
    <t>Вул.Потьомкінська взд.буд.№147,147-А,149в м.Мик.</t>
  </si>
  <si>
    <t>Вул.Озерна у дв.буд.№25-47 в м.Мик.</t>
  </si>
  <si>
    <t>Вул.Колодязна взд.буд.№10,10-А в м.Мик.</t>
  </si>
  <si>
    <t>Вул.3 Слобідська у дв.буд.№51,51А,51Б,57 в м.Мик.</t>
  </si>
  <si>
    <t>Технічне обслуговування мереж вуличного освітлення</t>
  </si>
  <si>
    <t>ФОП Седнєва І.В.</t>
  </si>
  <si>
    <t>поточ.рем.покрівлі житл.буд,по вул.Райдужна,51</t>
  </si>
  <si>
    <t xml:space="preserve">ПП "Будремком"         </t>
  </si>
  <si>
    <t>пот.рем.сист.водовід.і водопост.в ж/б пр.Гер. України,105 в м.Мик</t>
  </si>
  <si>
    <t xml:space="preserve">ФОП Тесленко Н. П.       </t>
  </si>
  <si>
    <t>пот.рем.вхід.зони ж/б по пр.Богоявленський,325/4 в м.Мик.</t>
  </si>
  <si>
    <t>пот.рем.сис. хол. водоп.та водовід. ж/б в. Металургів, 34 в м.Мик.</t>
  </si>
  <si>
    <t xml:space="preserve">ФОП Седнєва І.В.   </t>
  </si>
  <si>
    <t>пот.рем.пок.жб ОСМД"пр.Цент.,94-а",за адр.пр.Центральний,94-а,м.Мик.</t>
  </si>
  <si>
    <t xml:space="preserve"> пот.рем.покрівлі жит.буд.ОСББ"пр.Центральний,94-а" в м.Мик.</t>
  </si>
  <si>
    <t>ФОП Пашкевич В. М.</t>
  </si>
  <si>
    <t>пот.рем.вн.буд.ел.мер. ж/б в. Обсерваторна,1/7 в м.Мик.</t>
  </si>
  <si>
    <t>пот.рем.внутбуд.ел.мер.ж/б в.Обсерваторна,1/9 в м.Мик.</t>
  </si>
  <si>
    <t>пот.рем.внутрішньобуд.ел. мер.ж/б в.Обсерваторна,1/8 в м.Мик.</t>
  </si>
  <si>
    <t>пот.рем.внбуд.ел. мер. ж/б в.Обсерваторна,1/8 в м.Мик.</t>
  </si>
  <si>
    <t>пот.рем.внутбуд.ел.мер. ж/б в. Обсерваторна,1/9 в м.Мик.</t>
  </si>
  <si>
    <t xml:space="preserve">ФОП Медянцев В.В. </t>
  </si>
  <si>
    <t>пот.рем.сист.каналіз.в ж/б в.Лазурна,18-Б в м.Мик.</t>
  </si>
  <si>
    <t>пот.рем.сист.каналіз.в ж/б в.Лазурна,16-Г в м.Мик.</t>
  </si>
  <si>
    <t>пот.рем.мер.водовід.в ж/б в.Потьомкінська,17-А в м.Мик.</t>
  </si>
  <si>
    <t>пот.рем.сист.водовідвед.в ж/б пр.Центральний,261 в м.Мик.</t>
  </si>
  <si>
    <t>пот.рем.мер.водов.в ж/б в.Потьомкінська, 17-А в м.Мик.</t>
  </si>
  <si>
    <t>пот.рем.сис.водовід. ж/б пр. Центральний, 261 в м.Мик.</t>
  </si>
  <si>
    <t>пот.рем.сист.водоп.та водов.ж/б,в.Будів.,22 в м.Мик.</t>
  </si>
  <si>
    <t xml:space="preserve">ФОП Лінчаковський М. М.  </t>
  </si>
  <si>
    <t>пот.рем.в/б.сис. цен.оп.з нас. гід.вип ж/б в. Крилова,52 в м.Мик.</t>
  </si>
  <si>
    <t>пот.рем.мер. опал.в ж/б в. Крилова,12/4 в м.Мик.</t>
  </si>
  <si>
    <t>пот.рем.в/б.сис. цен.оп.з нас. гід.вип ж/б в. Крилова,12/2 в м.Мик.</t>
  </si>
  <si>
    <t>пот.рем.в/б.сис. цен.оп.з нас. гід.вип ж/б в. Крилова,12/1 в м.Мик.</t>
  </si>
  <si>
    <t>пот.рем.мер.опал.в ж/б, вул. Крилова,8 в м.Мик.</t>
  </si>
  <si>
    <t>пот.рем.мер.опал.в ж/б, вул. Крилова, 12/3 в м.Мик.</t>
  </si>
  <si>
    <t>пот.рем.в/б.сис. цен. оп.з нас. гід.вип ж/б в. Крилова,50А в м.Мик.</t>
  </si>
  <si>
    <t>пот.рем.мер.опал.в ж/б, вул. Г. Карпенка,59А в м.Мик.</t>
  </si>
  <si>
    <t>пот.рем.в/б.сис. цен. оп.з нас. гід.вип ж/б в. Крилова,4 в м.Мик.</t>
  </si>
  <si>
    <t>пот.рем.мер.опал.в ж/б, вул. Г. Карпенка,57 в м.Мик.</t>
  </si>
  <si>
    <t xml:space="preserve">ФОП Костенко Д. С.  </t>
  </si>
  <si>
    <t>пот.рем.в час.зам.вік.під. ж/б в.8 Березня 39 в м.Мик.</t>
  </si>
  <si>
    <t xml:space="preserve">ФОП Жуковский В.Є.            </t>
  </si>
  <si>
    <t>пот.рем.місць заг.кор.з зам.вік.у гурт. в.Курортна,11 в м.Мик.</t>
  </si>
  <si>
    <t>пот.рем. ж/б. в. Арх.Старова 6-Б в м.Мик.</t>
  </si>
  <si>
    <t>пот.рем.сх.кл.із зам. вік. ж/б в. Адміральська,2 корп.1 в м.Мик.</t>
  </si>
  <si>
    <t xml:space="preserve"> пот.рем. ж/б. в. 8 Березня, 34 , в м.Мик.</t>
  </si>
  <si>
    <t>пот.рем.покр. жит.буд. в. Крилова, 8/1 в м.Мик.</t>
  </si>
  <si>
    <t>пот.рем.сх. кл. із зам. вік.. ж/б пров. Радіо, 4/6 в м.Мик.</t>
  </si>
  <si>
    <t>пот.рем. жит.буд. в. Московська, 38 в м.Мик.</t>
  </si>
  <si>
    <t xml:space="preserve">ФОП Жорова М. А.    </t>
  </si>
  <si>
    <t>пот.рем.сист.водовідвед.в ж/б в.Арх.Старова,4д в м.Мик.</t>
  </si>
  <si>
    <t>пот.рем.сист.водовідвед.в ж/б по в.Арх. Старова,4Г в м.Мик.</t>
  </si>
  <si>
    <t>пот.рем.сист.водовідвед.в ж/б по в.Московська,4а в м.Мик.</t>
  </si>
  <si>
    <t>пот.рем.сист.водопост.і водов.в ж.б.по пр.Миру,30 в м.Мик.</t>
  </si>
  <si>
    <t xml:space="preserve">ФОП Жолоб С.О.    </t>
  </si>
  <si>
    <t>пос.з пот.рем.мер.електропост.ж/б.вул.Чкалова, 84 в м.Мик.</t>
  </si>
  <si>
    <t xml:space="preserve">ФОП Волошин О. Г.   </t>
  </si>
  <si>
    <t>пот.рем.сист.водопост.і водовід.в ж/б в.Арх.Старова,8б в м.Мик</t>
  </si>
  <si>
    <t xml:space="preserve">ФОП Бобров О. М. </t>
  </si>
  <si>
    <t>пот.рем.пандусу. ж/б по пров.Кобера, 15 б в м.Мик.</t>
  </si>
  <si>
    <t>пот.рем.пандусу житл.буд.по пр.Богоявл.325/3,1під.в м.Мик.</t>
  </si>
  <si>
    <t xml:space="preserve">ТОВ"ЦЕНТРЛІФТ"       </t>
  </si>
  <si>
    <t>пот.рем.ліфта ж/б. в. 11 Поздовжня, 31А, п.1 в м.Мик.</t>
  </si>
  <si>
    <t>пот.рем.ліфта у житл.буд. по вул.Казарського,б.8,п.2 в м.Мик.</t>
  </si>
  <si>
    <t>пот.рем.ліфта у житл.буд. по вул.Казарського,б.8,п.3 в м.Мик.</t>
  </si>
  <si>
    <t>пот.рем.ліфта у житл.буд. пр.Героїв.України,75а,п.1 в м.Мик.</t>
  </si>
  <si>
    <t>пот.рем.ліфта у ж/б пр.Корабелів,б.12Б в м.Мик.</t>
  </si>
  <si>
    <t>пот.рем.ліфта у жит.буд.по в.Океанівська,б.40В,п.1  в м.Мик.</t>
  </si>
  <si>
    <t xml:space="preserve">ТОВ"Південьторгмонтаж"        </t>
  </si>
  <si>
    <t>пот.рем.елек.мер.багатокв.ж/б в.Миколаївська 19-А,м.Мик.</t>
  </si>
  <si>
    <t>пот.рем.елек.мер.багатокв.ж/б в.Райдужна 34,м.Мик.</t>
  </si>
  <si>
    <t>пот.рем.елек.мер.багатокв.ж/б в.Миколаївська 19-а м.Мик.</t>
  </si>
  <si>
    <t>пот.рем.ел. мер. багатокв. ж/б в. Райдужна, 34 в м.Мик.</t>
  </si>
  <si>
    <t xml:space="preserve">ТОВ"БУД-КОН"      </t>
  </si>
  <si>
    <t>пот.рем.вим.ж/б ОСББ"Чкалова,215В",за адрес.в.Чкалова,215В в м.Мик.</t>
  </si>
  <si>
    <t>пот.рем.покрівлі жит.буд. вул.8 Поперечна, 9 в м.Мик.</t>
  </si>
  <si>
    <t>пот.рем.покрівлі жит.буд. вул.8 Березня,103 в м.Мик.</t>
  </si>
  <si>
    <t xml:space="preserve">ТОВ"АРГО АСП"    </t>
  </si>
  <si>
    <t>пот.рем.сис.каналіз..в ж/б по в.Лазурна,30-Б в м.Мик.</t>
  </si>
  <si>
    <t>пот.рем.мер.електропост.ж/б.вул.Миколаївська, 28 в м.Мик.</t>
  </si>
  <si>
    <t>пот.рем.сист.каналіз.в ж/б в.Лазурна,16-В в м.Мик.</t>
  </si>
  <si>
    <t>пот.рем.сист.водоп.в ж/б пр. Миру,23-А в м.Мик.</t>
  </si>
  <si>
    <t xml:space="preserve">ТОВ"АЛЬЯНСБУД МИКОЛАЇВ"  </t>
  </si>
  <si>
    <t>пот.рем.1го під.в ж/б в.Олійника,32 в м.Мик.</t>
  </si>
  <si>
    <t>пот.рем.прибуд.тер.ж/б. в. Лазурна, 10Б в м.Мик.</t>
  </si>
  <si>
    <t>пот.рем.сист.водоп.та водовід.в ж/б в.Лазурна,4-Г в м.Мик.</t>
  </si>
  <si>
    <t>ТОВ Центральний 1</t>
  </si>
  <si>
    <t>пот.рем.сис.хол.водоп.та сис.водовід.в ж/б пр.Централ.,135 в м.Мик.</t>
  </si>
  <si>
    <t xml:space="preserve">ТОВ СП"Альтус-Про"     </t>
  </si>
  <si>
    <t>пот.рем. ж/б в. Декабристів,38/1 в м.Мик</t>
  </si>
  <si>
    <t xml:space="preserve">ТОВ Будтехнологія-МК      </t>
  </si>
  <si>
    <t>пот.рем.водост.сист..в ж/б пр.Центральний,21 в м.Мик</t>
  </si>
  <si>
    <t xml:space="preserve">ТОВ "Стеклосоюз"            </t>
  </si>
  <si>
    <t>пот.рем.сх. кл. із зам. вік.ж/б в. Казарського, 8 в м.Мик</t>
  </si>
  <si>
    <t xml:space="preserve">ТОВ "СТРОЙ-ВЕКТОР"   </t>
  </si>
  <si>
    <t>пот.рем.вх.зон ж/б в. 3-я Слобідська,24 в м.Мик.</t>
  </si>
  <si>
    <t>пот.рем.покрівлі жит.буд. пр. Центральний 148-А, в м.Мик.</t>
  </si>
  <si>
    <t xml:space="preserve">ТОВ "ПИК-МОНТАЖ"            </t>
  </si>
  <si>
    <t>пот.рем.сист.водоп.та водовід.в ж/б в.Потьомкінська,149 в м.Мик.</t>
  </si>
  <si>
    <t>пот.рем.сис.водоп.та водовід.в ж/б по в.Колодязна,35 в м.Мик.</t>
  </si>
  <si>
    <t>пот.рем.сис.водоп.та водовід.в ж/б по в.Колодязна,18 в м.Мик.</t>
  </si>
  <si>
    <t>пот.рем.сис.водоп.та водовід.в ж/б по в.Колодязна,5б в м.Мик.</t>
  </si>
  <si>
    <t>пот.рем.сист.водопост.і водовід.в ж/б пр.Центральний,186 в м.Мик.</t>
  </si>
  <si>
    <t xml:space="preserve"> пот.рем.сист.водоп.та водовід.ж/б по вул.6 Слобід.,1 у м.Мик.</t>
  </si>
  <si>
    <t xml:space="preserve">ТОВ "НІК-ІНСЕРВІС"     </t>
  </si>
  <si>
    <t>пот.рем.теп.вводу сис.опал.в ж/б пр. Центральний,71а в м.Мик</t>
  </si>
  <si>
    <t xml:space="preserve">ТОВ "Вектор-Л" </t>
  </si>
  <si>
    <t>пот.рем.мер.електропост.ж/б за адр. м.Мик.</t>
  </si>
  <si>
    <t xml:space="preserve">ТОВ "Вектор-Гранд"   </t>
  </si>
  <si>
    <t>пот.рем.ел.мер.багатокв.ж/б по вул.Райдужна,36 в м.Мик.</t>
  </si>
  <si>
    <t xml:space="preserve">ТОВ "АЛЬТ ТОП"   </t>
  </si>
  <si>
    <t>пот.рем.прибуд. терит. ж/б, вул. Спаська, 6 в м.Мик.</t>
  </si>
  <si>
    <t xml:space="preserve">ТОВ "АВТОБІОЛЮКС"     </t>
  </si>
  <si>
    <t>пот.рем.покр. ж/б в. Космонатів,138-б в м.Мик.</t>
  </si>
  <si>
    <t xml:space="preserve">ТОВ "ЄВРО-КЛІН"   </t>
  </si>
  <si>
    <t>пот.рем.сис.водоп.і водов.в ж/б по пр.Гер.Укр.13А в м.Мик.</t>
  </si>
  <si>
    <t xml:space="preserve">ПП"Спецмонтаж-М"       </t>
  </si>
  <si>
    <t>пот.рем.водопостач.в ж/б в. Космонавтів,138-Б в м.Мик.</t>
  </si>
  <si>
    <t xml:space="preserve">ПП "Будремком"   </t>
  </si>
  <si>
    <t>пот.рем.сис.кан.та хол.водоп.в ж/б пр.Прорізному,21 в м.Мик.</t>
  </si>
  <si>
    <t>пот.рем.сист.канал.та хол.водоп.в ж/б пр.Прорізному,21 в м.Мик.</t>
  </si>
  <si>
    <t>пот.рем.сис.опал.в ж/б в. Заводська,13/5 в м.Мик.</t>
  </si>
  <si>
    <t xml:space="preserve">ОКП"Миколаївоблтеплоенерго"   </t>
  </si>
  <si>
    <t xml:space="preserve">пот.рем.мер.теплопостач.в ж/б в.Новосльська,4 </t>
  </si>
  <si>
    <t>пот.рем.мер.теплопостач.в ж/б в.Новосльська,4 в м.Мик.</t>
  </si>
  <si>
    <t xml:space="preserve">КП"МИКОЛАЇВЛIФТ"            </t>
  </si>
  <si>
    <t>пот.рем. ліфта ж/б, вул. Колодязна, 10 (п.5)в м.Мик.</t>
  </si>
  <si>
    <t>пот. рем. ліфта ж/б, вул.1 Слобідс.,43 (п.5) в м.Мик.</t>
  </si>
  <si>
    <t>пот. рем. ліфта ж/б, вул. Озерна,31 (п.2) в м.Мик.</t>
  </si>
  <si>
    <t>пот. рем. ліфта ж/б, вул.  Колодязна, 7 (п.1)  в м.Мик.</t>
  </si>
  <si>
    <t>пот. рем. ліфта ж/б, вул. Лазурна,24-Б (п.2)  в м.Мик.</t>
  </si>
  <si>
    <t>пот.рем.ліфта ж/б.в.Галини Петрової 3 (п.1)  в м.Мик.</t>
  </si>
  <si>
    <t>пот.рем.ліфта ж/б.в.Океанівська 64 (п.2)  в м.Мик.</t>
  </si>
  <si>
    <t>пот.рем.ліфта ж/б. в. Погранична,22 (п.), в м.Мик.</t>
  </si>
  <si>
    <t>пот.рем.ліфта ж/б. в. Шнеєрсона,4 (п.1), в м.Мик.</t>
  </si>
  <si>
    <t>пот.рем.ліфта ж/б. в. Потьомкінська,17А в м.Мик.</t>
  </si>
  <si>
    <t>пот.рем.ліфта ж/б.в.Металургів,8(п.1), в м.Мик.</t>
  </si>
  <si>
    <t xml:space="preserve"> пот.рем.ліф.ж/б. в. Озерна,31 (п.4), в м.Мик.</t>
  </si>
  <si>
    <t>пот.рем.ліфта ж/б.в.Погранична 20 (п.1)  в м.Мик.</t>
  </si>
  <si>
    <t>пот.рем.ліф. жб. в. Лазурна, 24 А(п.2),в м.Мик.</t>
  </si>
  <si>
    <t>пот.рем.ліф.ж/б.по пр.Центральний 138 (п.1) в м.Мик.</t>
  </si>
  <si>
    <t>пот.рем.ліф.ж/б.по пр.Центральний 138 (п.1)  в м.Мик.</t>
  </si>
  <si>
    <t>пот.рем.ліфта ж/б. в. Крилова, 38Б (п.1), в м.Мик.</t>
  </si>
  <si>
    <t>пот.рем.ліфта ж/б. в. Озерна, 19В (п.2), в м.Мик.</t>
  </si>
  <si>
    <t>пот.рем.ліфта ж/б. в. Металургів,8 (п.3), в м.Мик.</t>
  </si>
  <si>
    <t>пот.рем.ліф. жб. в. Колодязна, 20 (п.2),в м.Мик.</t>
  </si>
  <si>
    <t>пот.рем.ліф. жб. в. Потьомкінська, 143А(п.2),в м.Мик.</t>
  </si>
  <si>
    <t>пот.рем.ліфта ж/б. в. Лазурна, 24 (п.2), в м.Мик.</t>
  </si>
  <si>
    <t>пот.рем.ліфта ж/б. в. Крилова, 38Б (п.2), в м.Мик.</t>
  </si>
  <si>
    <t>пот.рем.ліфта ж/б. в. Лазурна, 15А (п.1), в м.Мик.</t>
  </si>
  <si>
    <t>пот.рем.ліфта ж/б. в. Озерна, 29 (п.4), в м.Мик.</t>
  </si>
  <si>
    <t>пот.рем.ліфта ж/б. в. Курортна, 17, в м.Мик.</t>
  </si>
  <si>
    <t>пот.рем.ліфта ж/б. в. Лазурна, 6-Б (п.2), в м.Мик.</t>
  </si>
  <si>
    <t xml:space="preserve">пот.рем.ліфта у жит.буд.по вул.Лазурна,42А (п.1) </t>
  </si>
  <si>
    <t>пот.рем.ліфта у жит.буд.по вул.Лазурна,42А (п.1) в м.Мик.</t>
  </si>
  <si>
    <t xml:space="preserve"> пот.рем.ліфта у жит.буд.по пр.Центр.,183А(п.1) </t>
  </si>
  <si>
    <t xml:space="preserve"> пот.рем.ліфта у жит.буд.по пр.Центр.,183А(п.1) в м.Мик.</t>
  </si>
  <si>
    <t xml:space="preserve">пот.рем.ліфта у жит.буд.по пр.Корабелів,12А(п.1) </t>
  </si>
  <si>
    <t>пот.рем.ліфта у жит.буд.по пр.Корабелів,12А(п.1) в м.Мик.</t>
  </si>
  <si>
    <t>пот.рем.ліфта у жит.буд.по вул.Озерна,11Б(п.2)</t>
  </si>
  <si>
    <t>пот.рем.ліфта у жит.буд.по вул.Озерна,11Б(п.2) в м.Мик.</t>
  </si>
  <si>
    <t xml:space="preserve">КНВП Тріботехніка </t>
  </si>
  <si>
    <t xml:space="preserve">пот.рем.сх.кл.із зам. вік. ж/б в.Передова,52б </t>
  </si>
  <si>
    <t>пот.рем.сх.кл.із зам. вік. ж/б в.Передова,52б в м.Микол.</t>
  </si>
  <si>
    <t xml:space="preserve"> пот.рем.сх.кл.із зам. вік. ж/б в. 6-а Слобідська,46 </t>
  </si>
  <si>
    <t xml:space="preserve"> пот.рем.сх.кл.із зам. вік. ж/б в. 6-а Слобідська,46 в м.Мик.</t>
  </si>
  <si>
    <t xml:space="preserve"> пот.рем.сх.кл.із зам. вік. ж/б в. Нікольська,49 </t>
  </si>
  <si>
    <t xml:space="preserve"> пот.рем.сх.кл.із зам. вік. ж/б в. Нікольська,49 в м.Микол.</t>
  </si>
  <si>
    <t>пот.рем.сх.кл.із з.вік.жб в.Передова,52в в м.Мик.</t>
  </si>
  <si>
    <t>пот.рем.сход.кліт.із зам.вік.в ж/б пр.Центральний,15 в м.Мик.</t>
  </si>
  <si>
    <t xml:space="preserve">пот.рем.сход.кліт.із зам.вік.в ж/б вул.Нікольська,54 </t>
  </si>
  <si>
    <t>пот.рем.сход.кліт.із зам.вік.в ж/б вул.Нікольська,54 в м.Мик.</t>
  </si>
  <si>
    <t xml:space="preserve">пот.рем.сх. кл. із зам. вік.. ж/б в. Передова,52г </t>
  </si>
  <si>
    <t>пот.рем.сх. кл. із зам. вік.. ж/б в. Передова,52г в м.Мик.</t>
  </si>
  <si>
    <t xml:space="preserve">ЖКП ММР Бриз       </t>
  </si>
  <si>
    <t>пот.рем.мер.в.п.та в.в.ж/б в.Силікатна, 285 в м.Мик.</t>
  </si>
  <si>
    <t xml:space="preserve">пот.рем.сист. водов. ж/б в. Заводська, 21/2 (1 п) </t>
  </si>
  <si>
    <t>пот.рем.сист. водов. ж/б в. Заводська, 21/2 (1 п) в м.Мик.</t>
  </si>
  <si>
    <t>ДП "Енема-монтаж МВК ПП "Енема</t>
  </si>
  <si>
    <t>пос.вигот.схем. внутрішньобуд.елект.мер.в ж/б в м.Микол.згід.перел.обьєктів</t>
  </si>
  <si>
    <t>пос.вигот.схем. внутрішньобуд.елект.мер.в ж/б в м.Микол.згід.перел.об.</t>
  </si>
  <si>
    <t>пот.рем.покр.ж/б,вул.Райдужна,51</t>
  </si>
  <si>
    <t>пот.рем.внутрішньобуд. ел. мер. ж/б, вул. Обсерваторна, 1/7</t>
  </si>
  <si>
    <t>пот.рем.внутрішньобуд.ел.мер. ж/б,вул. Обсерваторна,1/9</t>
  </si>
  <si>
    <t>пот.рем.внутрішньобуд. ел. мер. ж/б, вул. Обсерваторна, 1/8</t>
  </si>
  <si>
    <t>ФОП Медянцев В.В.</t>
  </si>
  <si>
    <t>пот.рем.сист.водоп.та водовідв.ж/б,вул.Будівельн.,22</t>
  </si>
  <si>
    <t>пот.рем.сист.хол.водоп.в ж/б,в.Передова,52-В</t>
  </si>
  <si>
    <t>пот.рем.сис.хол.водоп.і водов.в ж/б,в.А.Старова,6В</t>
  </si>
  <si>
    <t>пот.рем.сис.хол.водоп.та водов.в ж/б,в.А.Старова,6В</t>
  </si>
  <si>
    <t>ФОП Козаков Р. М.</t>
  </si>
  <si>
    <t>поточ.рем.сход.кліт.з зам.вікон у ж/б,пр.Корабел.,16а</t>
  </si>
  <si>
    <t>поточ.рем.сход.кліт.з зам.вікон у ж/б,вул.Океанів.,буд.28</t>
  </si>
  <si>
    <t>ФОП Жуковский В.Є.</t>
  </si>
  <si>
    <t>поточ.рем.ж/б, пр. Корабелів, 12-А</t>
  </si>
  <si>
    <t>пот.рем.ж/б,вул.Космонавтів,51</t>
  </si>
  <si>
    <t>пот.рем.сход.кліт.із .зам.вік.в ж/б по в.Океанів.,47</t>
  </si>
  <si>
    <t>пот.рем.сход.кліт.із .зам.двер.у ж/б по в.Арх.Стар.6А</t>
  </si>
  <si>
    <t>пот.рем.ж/б,вул.Малко-Тирнівська,75</t>
  </si>
  <si>
    <t>пот.рем.ж/б,ОСББ"Северянин"вул. Олійника,24/3</t>
  </si>
  <si>
    <t>пот.рем.сход.кліт.із .зам.вік.в ж/б,в.Озерна,8</t>
  </si>
  <si>
    <t>пот.рем.сход.кліт.із .зам.вік.в ж/б,в.Карпенко, 61</t>
  </si>
  <si>
    <t>пот.рем.ж/б,вул.Г.Попеля,170</t>
  </si>
  <si>
    <t>ФОП Жорова М. А.</t>
  </si>
  <si>
    <t>пот.рем.сист.водоп.і водов.в ж.б.по пр.Миру,30</t>
  </si>
  <si>
    <t>пот.рем.сист.водов.в ж.б.по в.Будівельників,18-А</t>
  </si>
  <si>
    <t>ФОП Волошин О. Г.</t>
  </si>
  <si>
    <t>пот.рем.сист. опалення в ж/б,вул.8 Березня,14</t>
  </si>
  <si>
    <t>поточ.рем.сист.водовідв.в ж/б по в.Арх.Старова,4В</t>
  </si>
  <si>
    <t>поточ.рем.сист.водовідв.в ж/б по в.Арх.Старова,4Б</t>
  </si>
  <si>
    <t>ФОП Бобров О. М.</t>
  </si>
  <si>
    <t>поточ.рем.пандусу житл.буд.по вул.Шнеєрсона,2, 1під.</t>
  </si>
  <si>
    <t>поточ.рем.пандусу ж/б по вул.Айвазовського,5а,2 під.</t>
  </si>
  <si>
    <t>пот.рем.пандусу ж/б,вул.Заводська,13/5(п.1)</t>
  </si>
  <si>
    <t>поточ.рем.покр.ж/б,вул.Садова,15</t>
  </si>
  <si>
    <t>поточ.рем.пандусу ж/б, вул.Громадянська,34Б,1 під.</t>
  </si>
  <si>
    <t>пот.рем.пандусу ж/б, пр.Г.України,19(3п.)</t>
  </si>
  <si>
    <t>пот.рем.пандусу ж/б,вул.Арх.Старова,4є(п.3)</t>
  </si>
  <si>
    <t>поточ.рем.сист. опален. ж/б,вул.Космонав.,57а</t>
  </si>
  <si>
    <t>пот.рем.вимощення в жит.буд.по пр.Центральний,155</t>
  </si>
  <si>
    <t>ТОВ"ЦЕНТРЛІФТ"</t>
  </si>
  <si>
    <t>поточ.рем.ліфта в ж/б вул.Вокзал.,буд.59 (п.1)</t>
  </si>
  <si>
    <t>поточ.рем.ліфта в ж/б вул.Арх.Стар.,б.4Б (п.1)</t>
  </si>
  <si>
    <t>поточ.рем.ліфта в ж/б вул.Кобера,буд.13Б (п.2)</t>
  </si>
  <si>
    <t>пот.рем.ліфта в ж/б,вул.Нагірна,87/1 (п.1)</t>
  </si>
  <si>
    <t>пот.рем.ліфта в ж/б,вул.Ізмалкова,7(п.1)</t>
  </si>
  <si>
    <t>пот.рем.ліфта у ж.б.,вул.6Слобідська,48</t>
  </si>
  <si>
    <t>пот.рем.ліфта у ж.б.,вул.Квітнева,52(п.2)</t>
  </si>
  <si>
    <t>пот.рем.ліфта у ж.б.,пр.Миру,56 (п.1)</t>
  </si>
  <si>
    <t>пот.рем.ліфта у ж.б.по пр-т Г.України буд.99 (2п.)</t>
  </si>
  <si>
    <t>пот.рем.ліфта у ж.б.по вул.Новобуз.,буд.101 (3п.)</t>
  </si>
  <si>
    <t>пот.рем.ліфта у ж.б. по пров.Першотравневий,63(2п.)</t>
  </si>
  <si>
    <t>пот.рем.ліфта у жит.буд.по буд.вул.Оберегова,6(п.1)</t>
  </si>
  <si>
    <t>пот.рем.ліфта у житл.буд.по вул.Передова,52д(п.2)</t>
  </si>
  <si>
    <t>пот.рем.ліфта у жит.буд.по буд.вул.Квітнева,52(п.1)</t>
  </si>
  <si>
    <t>пот.рем.ліфта у ж.б.по вул. Новозаводська,2(п.4)</t>
  </si>
  <si>
    <t>пот.рем.ліфта у житл.буд.по пров.Кобера, 13-А</t>
  </si>
  <si>
    <t>пот.рем.ліфта у житл.буд.по вул. Театральна, 45</t>
  </si>
  <si>
    <t>ТОВ"БУД-КОН"</t>
  </si>
  <si>
    <t>пот.рем.внутрішн.електр.мереж.ж/б,пр.Богоявленський,42</t>
  </si>
  <si>
    <t>пот.рем.вимощ. житл.буд.ОСББ"Луч" вул.Південна,27</t>
  </si>
  <si>
    <t>ТОВ"АЛЬЯНСБУД МИКОЛАЇВ"</t>
  </si>
  <si>
    <t>пот.рем.мережі електроп.ж/б вул.Адмірал.,2 корп.7</t>
  </si>
  <si>
    <t>пот.рем.м'якої пок.ж/б,вул.Арх.Старова,2/6,кор.3</t>
  </si>
  <si>
    <t>пот.рем.під. із зам.вікон в ж/б, в.О.Ольжича, 3-В</t>
  </si>
  <si>
    <t>пот.рем.під.із зам.вікон в ж/б,вул.О.Ольжича,3-А</t>
  </si>
  <si>
    <t>пот.рем.під.із зам.вікон в ж/б,вул.О.Ольжича,3-Б</t>
  </si>
  <si>
    <t>ТОВ"ІМПОРТСТРОЙ"</t>
  </si>
  <si>
    <t>пот.рем.покрівлі жит.буд.по вул.Сидорчука,25</t>
  </si>
  <si>
    <t>поточ.рем.сист.холод.водопост.ж.б.за адр.пр.Центр.,69</t>
  </si>
  <si>
    <t>ТОВ ЖЕК" Забота"</t>
  </si>
  <si>
    <t>пот.рем.сист.водовідвед.житл.буд.вул.Колодяз.,10</t>
  </si>
  <si>
    <t>ТОВ "Укр.-буд.-комп."</t>
  </si>
  <si>
    <t>поточ.рем.м'якої покр.жит.буд.по пр.Героїв Укр.,97б</t>
  </si>
  <si>
    <t>поточ.рем.ганків під'їзд.житл.буд.по пр.Центр,187</t>
  </si>
  <si>
    <t>ТОВ "СТРОЙ-ВЕКТОР"</t>
  </si>
  <si>
    <t>поточ.рем.мережі електроп.ж/б пр.Центральний,138</t>
  </si>
  <si>
    <t>поточ.рем.сист.водопостач.ж/б вул.Колодязна,5-а</t>
  </si>
  <si>
    <t xml:space="preserve">ТОВ "ПИК-МОНТАЖ" </t>
  </si>
  <si>
    <t>пот.рем.сист.водоп.та водовід.ж/б по вул.6 Слобід.,7а</t>
  </si>
  <si>
    <t xml:space="preserve">ТОВ "МОНАРХ СТРОЙ"  </t>
  </si>
  <si>
    <t>пот.рем.мережі електропост.ж/б,вул.Театральна,47-А</t>
  </si>
  <si>
    <t>ТОВ "ДОМ СЕРВИС-НК"</t>
  </si>
  <si>
    <t>пот.рем.сист.каналіз.ж/б, вул.Артилерійська,1</t>
  </si>
  <si>
    <t>пот.рем.сист.каналіз.ж.б.по в.Вел.Морська,буд.65</t>
  </si>
  <si>
    <t>ТОВ "Вектор-Л"</t>
  </si>
  <si>
    <t>пот.рем.вн.буд.ел.мер.ж/б,в.Водопровідна,15</t>
  </si>
  <si>
    <t>пот.рем.мер.електроп.ж/б за адр.в.Микол.,17а</t>
  </si>
  <si>
    <t>пот.рем.вн.буд.ел.мер.ж/б, в.6Слобідська,46</t>
  </si>
  <si>
    <t>ТОВ "ЄВРО-КЛІН"</t>
  </si>
  <si>
    <t>пот.рем.сист.водоп.і водов.в ж/б по пр.Героїв Укр.13А</t>
  </si>
  <si>
    <t>пот.рем.сист.водоп.і водов.в ж/б,в.Вінграновського,45</t>
  </si>
  <si>
    <t>пот.рем.сист.водоп.і водов.в житл.буд.по пр.Героїв Укр.13А</t>
  </si>
  <si>
    <t>ТОВ ".Кассіопея."</t>
  </si>
  <si>
    <t>пот.рем.сист.водоп.та водов. ж/б, в.О.Ольжича,3-Г</t>
  </si>
  <si>
    <t>СП"Альтус-Про"</t>
  </si>
  <si>
    <t>пот.рем.ж/б ОСББ"Білий дім"вул.Декабристів,38/2</t>
  </si>
  <si>
    <t>пот.рем.фасаду житл.буд..вул.Шевченка,64А</t>
  </si>
  <si>
    <t>пот.рем.димовенткан.житл.б.за адр.:в.Буз.бульвар,9</t>
  </si>
  <si>
    <t>ПП "Будремком"</t>
  </si>
  <si>
    <t>пот.рем.сист.кан.та хол.водоп.ж/б,вул.Бердника,26</t>
  </si>
  <si>
    <t>пот.рем.сист.водов.та хол.водоп.ж/б по в.Казар.,5б</t>
  </si>
  <si>
    <t>пот.рем.сис.водоп.та канал.ж/б,в. Адміральська,2/5</t>
  </si>
  <si>
    <t xml:space="preserve">КП"МИКОЛАЇВЛIФТ" </t>
  </si>
  <si>
    <t>поточ.рем.ліфта у жит.буд.по в.Г.Гонгадзе,30(п.3)</t>
  </si>
  <si>
    <t>поточ.рем.ліфта у жит.буд.по вул.Озерна,13А(п.3)</t>
  </si>
  <si>
    <t>пот.рем.ліфта у жит.буд.по в.Океанівська,64 (п.3)</t>
  </si>
  <si>
    <t>поточ.рем.ліфта у жит.буд.по вул.Озерна,21 (п.2)</t>
  </si>
  <si>
    <t>пот.рем.ліфта у жит.буд.по вул.Лазурна,10Б (п.1)</t>
  </si>
  <si>
    <t>пот.рем.ліфта у жит.буд.по в.Колодязна,35-А (п.3)</t>
  </si>
  <si>
    <t>поточ.рем.ліфта у жит.буд.по вул.Садова,15 (п.1)</t>
  </si>
  <si>
    <t>поточ.рем.ліфта у жит.буд.по вул.Озерна,35 (п.3)</t>
  </si>
  <si>
    <t>пот.рем.ліфта у ж.б.,вул.Потьомкінська,141(п.2)</t>
  </si>
  <si>
    <t>пот.рем.ліфта у ж.б.,вул.Потьомкінська,131-Б(лів.)</t>
  </si>
  <si>
    <t>пот.рем.ліфта у ж.б.,вул.Лазурна,4-Б(п.1)</t>
  </si>
  <si>
    <t>пот.рем.ліфта у ж.б.по вул. Лазурна, 18-Б (п.3)</t>
  </si>
  <si>
    <t>пот.рем.ліфта у ж.б.,вул.Лазурна,16 (п.2)</t>
  </si>
  <si>
    <t>пот.рем.ліфта у ж.б.,пр.Богоявленський, 316(п.4)</t>
  </si>
  <si>
    <t>пот.рем.ліфта у ж.б.пр.Богоявленський,327/2(п.2)</t>
  </si>
  <si>
    <t>пот.рем.ліфта у жит.буд.по в.Генер.Карп.,77 (п.1)</t>
  </si>
  <si>
    <t>пот.рем.ліфта у жит.буд.по пр.Богоявл.,316 (п.1)</t>
  </si>
  <si>
    <t>пот.рем.ліфта у жит.буд.по вул.Озерна,1А (п.2)</t>
  </si>
  <si>
    <t>пот.рем.ліфта у жит.буд.по пр.Центр.,177А(груз)</t>
  </si>
  <si>
    <t>пот.рем.ліфта у жит.буд.по вул.Лазурна,10В (п.4)</t>
  </si>
  <si>
    <t>пот.рем.ліфта у жит.буд.по вул.Лазурна,4А (п.4)</t>
  </si>
  <si>
    <t>пот.рем.ліфта у жит.буд.по пр.Централ.,171(п.4)</t>
  </si>
  <si>
    <t>пот.рем.ліфта у жит.буд.по вул.Океанів.,32А(п.3)</t>
  </si>
  <si>
    <t>пот.рем.ліфта у жит.буд.по вул.Декабрис.,25 (п.2)</t>
  </si>
  <si>
    <t>пот.рем.ліфта у жит.буд.по пр.Богояв.,327/2(п.1)</t>
  </si>
  <si>
    <t>пот.рем.ліфта у жит.буд.по пр.Богояв.,327/2(п.5)</t>
  </si>
  <si>
    <t>пот.рем.ліфта у ж.б.по пр.Богоявленський,316 (п.5)</t>
  </si>
  <si>
    <t>пот.рем.ліфта у ж.б.по вул. Новобудівна, 3 (п.1)</t>
  </si>
  <si>
    <t>пот.рем.ліфта у ж.б.по вул.Потьомкінська,143-А(п.1)</t>
  </si>
  <si>
    <t>пот.рем.ліфта у жит.буд.по вул.Погранична, 22 (п.2)</t>
  </si>
  <si>
    <t>КНВП Тріботехніка</t>
  </si>
  <si>
    <t>пот.рем.сх.кл.із зам.вік.у ж/б,в.Потьом.,17</t>
  </si>
  <si>
    <t>пот.рем.сх.кл.із зам.вік.у ж/б,в.Потьомкінська,17а</t>
  </si>
  <si>
    <t>пот.рем.сх.кліт.із зам.вік.у ж/б,в.В.Морська, 2</t>
  </si>
  <si>
    <t>пот.рем.сход.кліт.із .зам.вік.в ж/б по в.В.Мор.,1</t>
  </si>
  <si>
    <t>ЖКП ММР Бриз</t>
  </si>
  <si>
    <t>пот.рем.мер.водоп.в ж.буд.,вул.Заводська,21/1</t>
  </si>
  <si>
    <t>пот.рем.мережі електропост.в ж/б,вул.Озерна,17-А</t>
  </si>
  <si>
    <t>пот.рем.мережі електропост. ж/б,вул.Крилова, 50-А</t>
  </si>
  <si>
    <t>пот.рем.мережі електропост.ж/б,вул.Крилова,50</t>
  </si>
  <si>
    <t>пот.рем.мер.електроп.ж/б,в.Завод.,1/1</t>
  </si>
  <si>
    <t>пот.рем.мер.електроп.ж/б,в.Завод.,1/2</t>
  </si>
  <si>
    <t>поточ.рем.м'якої покр.ж/б,в.Крилова,4</t>
  </si>
  <si>
    <t>пот.рем.м'як.покр.ж/б,вул.Шосейна,15</t>
  </si>
  <si>
    <t>пот.рем.мер.електропост. ж/б,вул.Лазурна,10-Б</t>
  </si>
  <si>
    <t xml:space="preserve">пот.рем.мер.електропост. ж/б,вул.Озерна,3-А </t>
  </si>
  <si>
    <t>Технагляд</t>
  </si>
  <si>
    <t xml:space="preserve">ФОП Скарлат С.О. </t>
  </si>
  <si>
    <t>поточ.рем.покрівлі житл.буд,вул.Адм.Макарова,8 м.Мик.</t>
  </si>
  <si>
    <t xml:space="preserve">ФОП Седнєва І.В. </t>
  </si>
  <si>
    <t>пот.рем.покр.ж/б,вул.Курортна,12-А м.Мик.</t>
  </si>
  <si>
    <t>пот.рем.покр. ж/б, вул.Курортна,12-А м.Мик.</t>
  </si>
  <si>
    <t xml:space="preserve">ФОП Медянцев В.В.          </t>
  </si>
  <si>
    <t>пот.рем.сист.хол.водоп.і водовід.в жит.буд.по в.Лазурна,42 м.Мик.</t>
  </si>
  <si>
    <t>пот.рем.сист.опал. в ж.б.,вул.Арх.Старова,10-Б в м.Мик</t>
  </si>
  <si>
    <t xml:space="preserve">ФОП Жуковский В.Є. </t>
  </si>
  <si>
    <t>пот.рем.сх.кліт.із зам.вік.в ж/б,пр. Центральний,10 м.Мик.</t>
  </si>
  <si>
    <t>пот.рем.сх.кліт.із зам.вік.в ж/б,пр.Центральний,6-А м.Мик.</t>
  </si>
  <si>
    <t>пот.рем.сх.кл.із зам.вік.в ж/б,в.Олійника,3Ам.Мик.</t>
  </si>
  <si>
    <t>пот.рем.сх.кл.із зам.вік.в1,3,5,7п. ж/б,пр.Центральний,9 м.Мик.</t>
  </si>
  <si>
    <t>пот.рем.сх. кліт. із зам.вік.в ж/б,вул.Олійника,1 м.Мик.</t>
  </si>
  <si>
    <t>пот.рем.сх.сход. кліт.із зам. вік.в1п. ж/б,в.Олійника,3 м.Мик.</t>
  </si>
  <si>
    <t>пот.рем.ж/б,вул.Г.Петрової,1 м.Мик.</t>
  </si>
  <si>
    <t>пот.рем.ж/б,вул.О.Григор'єва, 6-А м.Мик.</t>
  </si>
  <si>
    <t>пот.рем.в ж/б,вул.2-а Поперечна,32 в м.Мик.</t>
  </si>
  <si>
    <t>пот.рем.в ж/б,вул.Г.Петрової,5 в м.Мик.</t>
  </si>
  <si>
    <t>пот.рем.сис.водоп.та водов.ж/б,.пр. Героїв України, 18 м.Мик.</t>
  </si>
  <si>
    <t>пот.рем.пандусу жтил.буд. по вул.Архітек.Старова,4є,1 під.в м.Микол.</t>
  </si>
  <si>
    <t>пот.рем.пандусу жтил.буд. по вул.Архітек.Старова,6а,2 під.в м.Микол.</t>
  </si>
  <si>
    <t>пот.рем.сис.водоп.та вік.укос.в ж/б по в.Арх.Старова,6 в м.Микол.</t>
  </si>
  <si>
    <t>пот.рем.сист.водопост.в  ж/б,вул.Казарського,5 м.Мик.</t>
  </si>
  <si>
    <t xml:space="preserve">ТОВ"ЦЕНТРЛІФТ" </t>
  </si>
  <si>
    <t>пот.рем.ліфта в ж/б,пр.Богоявленський,28 (п.1) м.Мик.</t>
  </si>
  <si>
    <t>пот.рем.ліфта  в ж/б,вул. Миколаївська, 34-Б м.Мик.</t>
  </si>
  <si>
    <t>пот.рем.ліфта  в ж/б,вул.Першотравнева, 109 (3п.) м.Мик.</t>
  </si>
  <si>
    <t>пот.рем.ліфта  в ж/б,вул.Будівельників,18-В (2п.) м.Мик.</t>
  </si>
  <si>
    <t>пот.рем.ліфта  в ж/б,вул.Казарського,5-А м.Мик.</t>
  </si>
  <si>
    <t>пот.рем.ліфта  в ж/б,вул.Шептицького,22/1(3п.) м.Мик.</t>
  </si>
  <si>
    <t>пот.рем.ліфта  в ж/б,вул.Шептицького, 22/1(2п.) м.Мик.</t>
  </si>
  <si>
    <t>пот.рем.ліфта в ж/б, вул. Казарського, 3-А (п.2) м.Мик.</t>
  </si>
  <si>
    <t>пот.рем.ліфта в ж/б, вул. Космонавтів, 152(п.2) м.Мик.</t>
  </si>
  <si>
    <t xml:space="preserve"> пот.рем.ліфта в ж/б,вул.Океанівська,40-Б(п.1) м.Мик.</t>
  </si>
  <si>
    <t>пот.рем.ліфта в ж/б,вул.12 Поздовжня, 44-А(п.2) м.Мик.</t>
  </si>
  <si>
    <t>пот.рем.ліфта в ж/б,вул.12 Поздовжня,3 (п.2)в м.Мик.</t>
  </si>
  <si>
    <t>пот.рем.ліфта в ж/б,пр.Героїв України, 13-Г(п.3) м.Мик.</t>
  </si>
  <si>
    <t xml:space="preserve"> пот.рем.ліфта в ж/б,пров.Першотравневий,63 (п.2) м.Мик.</t>
  </si>
  <si>
    <t>пот.рем.ліфта в ж/б,вул.Вокзальна,49 (п.3) м.Мик.</t>
  </si>
  <si>
    <t>пот.рем.ліфта в ж/б,вул.Айвазовського,11Б (п.2) м.Мик.</t>
  </si>
  <si>
    <t xml:space="preserve"> пот.рем.ліфта в ж/б,пр.Героїв України, 79-А(п.3) в м.Мик.</t>
  </si>
  <si>
    <t>пот.рем.ліфта в ж/б, пр.Г.України,87А(п.2)  в м.Мик.</t>
  </si>
  <si>
    <t>пот.рем.ліфта в ж/б, пр.Г.України,107(п.1) в м.Мик.</t>
  </si>
  <si>
    <t>пот.рем.ліфта в ж/б, вул.Ізмалкова,7(п.2) в м.Мик.</t>
  </si>
  <si>
    <t xml:space="preserve"> пот.рем.ліфта в ж/б, вул.Космонавтів,104-А(п.1) в м.Мик.</t>
  </si>
  <si>
    <t xml:space="preserve">ТОВ"БУД-КОН" </t>
  </si>
  <si>
    <t>поточ.рем.внутріш.елек.мереж житл.буд.по пров.Кобера,13А м.Микол.</t>
  </si>
  <si>
    <t>пот.рем.мер.ел.пост.гурт.,в. Ходченка,58а в м.Мик.</t>
  </si>
  <si>
    <t xml:space="preserve"> пот.рем.покр.ж.б.,вул.Корабелів,22 м.Мик.</t>
  </si>
  <si>
    <t>пот.рем.покр.,вул.Чайковського,6 м.Мик.</t>
  </si>
  <si>
    <t>пот.рем.покр.,вул.Терасна,1-А м.Мик.</t>
  </si>
  <si>
    <t>ТОВ Центральний 1 </t>
  </si>
  <si>
    <t>пот.рем.сист.хол.водоп..ж/б,в. Севастопольська,68 в м.Мик.</t>
  </si>
  <si>
    <t xml:space="preserve">ТОВ ЖЕК" Забота"  </t>
  </si>
  <si>
    <t>пот.рем.сис.хол.водоп.та сис.водов.ж/б,в.Чкалова,122 в м.Мик</t>
  </si>
  <si>
    <t>пот.рем.с.хол.водоп.та с.водов.ж/б,вул.Потьомкінська,143Ам.Мик.</t>
  </si>
  <si>
    <t>ТОВ "Укр.-буд.-комп." </t>
  </si>
  <si>
    <t>пот.рем.покр. ж/б, вул.Кузнецька,130/13 м.Мик.</t>
  </si>
  <si>
    <t>пот.рем.м'якої покр. ж/б, вул.  Океанівська, 32-А м.Мик.</t>
  </si>
  <si>
    <t xml:space="preserve"> пот.рем.м'якої покр. ж/б, вул.  Океанівська, 46 м.Мик.</t>
  </si>
  <si>
    <t>пот.рем.м'якої покр. ж/б, вул. Потьомкінська, 131-Б м.Мик.</t>
  </si>
  <si>
    <t xml:space="preserve">ТОВ "Стеклосоюз" </t>
  </si>
  <si>
    <t>пот.рем.сх.кл.із зам.вік.в житл.б.по в.Каз.,3-а 2 і 3 під.м.Мик.</t>
  </si>
  <si>
    <t>пот.рем.сист.хол.вод.та канал.ж.б.по пр.Цент.,160 в м.Мик.</t>
  </si>
  <si>
    <t>пот.рем.вн.буд.ел.мер.ж/б,в.6Слобідська,46Ам.Мик.</t>
  </si>
  <si>
    <t xml:space="preserve">ТОВ "Адрем-ком" </t>
  </si>
  <si>
    <t>пот.рем.під.з уст.вх.двер.та вік.сх.кл.у ж/б в.Погран.,131А м.Мик.</t>
  </si>
  <si>
    <t>пот.рем.під.з уст.вх.двер.та вік.сх.кл.у ж.буд.пр.Богояв.,49А м.Мик.</t>
  </si>
  <si>
    <t>пот.рем.під.з уст.вікон сх.кліт.у ж.буд.по вул.Нікольськ,8/5 м.Мик.</t>
  </si>
  <si>
    <t xml:space="preserve">ТОВ "Євроліфт"   </t>
  </si>
  <si>
    <t>пот.рем.ліфта в жит.буд.по в.3-а Слобід.,51б(п.2) в м.Микол.</t>
  </si>
  <si>
    <t>пот.рем.ліфта в жит.буд.по вул.Чкалова,106(п.3) в м.Микол.</t>
  </si>
  <si>
    <t>пот.рем.ліфта в жит.буд.по в.3-а Слобід.,51(п.3) в м.Микол.</t>
  </si>
  <si>
    <t>пот.рем.ліфта в жит.буд.по в.3-а Слобід.,51/б(п.3) в м.Микол.</t>
  </si>
  <si>
    <t>пот.рем.сист.водоп.житл.буд.по вул.О.Ольжича,5-А м.Микол.</t>
  </si>
  <si>
    <t>пот.рем.сист.водопост. ж/б,вул.Чкалова,78 в м.Мик</t>
  </si>
  <si>
    <t>пот.рем.під.із зам.вікон ж/б,вул.О.Ольжича,5-Б в м.Мик.</t>
  </si>
  <si>
    <t xml:space="preserve">СП"Альтус-Про" </t>
  </si>
  <si>
    <t>пот.рем.димовенткан.та фас.ж/б, в.Нікольська,49 м.Мик.</t>
  </si>
  <si>
    <t>пот.рем.балконів ж/б,вул.Спаська, 52 м.Мик.</t>
  </si>
  <si>
    <t>пот.рем.димовенткан.ж/б, Бузький бульвар,11 в м.Мик.</t>
  </si>
  <si>
    <t xml:space="preserve">ПП СЦ "Южная карта" </t>
  </si>
  <si>
    <t xml:space="preserve"> пот.рем.сист.водопос. ж/б ОСББ"Крилова54",вул.Крилова, 54 м.Мик.</t>
  </si>
  <si>
    <t xml:space="preserve">ПП "Будремком" </t>
  </si>
  <si>
    <t>пот.рем.сист.опал. ж/б,вул. Будівельників,14 м.Мик.</t>
  </si>
  <si>
    <t>пот.рем.сист.канал. ж/б,пр.Центральний,267 в м.Мик.</t>
  </si>
  <si>
    <t>пот.рем.сист.водоп.ж.б.в ж/б, в.Адміральська,2/6 в м.Мик.</t>
  </si>
  <si>
    <t>ОКП"Миколаївоблтеплоенерго"</t>
  </si>
  <si>
    <t>пот.рем.сис.опал.ж.б.,вул.Даля,1 в м.Мик.</t>
  </si>
  <si>
    <t>КП"МИКОЛАЇВЛIФТ"</t>
  </si>
  <si>
    <t>пот.рем.ліфта у житл.буд.по вул.Лазурна,40(п.2) м.Микол.</t>
  </si>
  <si>
    <t>пот.рем.ліфта у житл.буд.по вул.Новобудів.,1(п.3) у м.Микол.</t>
  </si>
  <si>
    <t>пот.рем.ліфта у житл.буд.по пр.Богоявл.325/1(п.4) у м.Микол.</t>
  </si>
  <si>
    <t>пот.рем.ліфта у житл.буд.по вул.Океанівс.52(п.1) у м.Микол.</t>
  </si>
  <si>
    <t>пот.рем.ліфта у житл.буд.по вул.Рибна 1/2(п.1) у м.Микол.</t>
  </si>
  <si>
    <t>пот.рем.ліфта  в ж/б,вул.Колодязна,20 (п.2) м.Мик.</t>
  </si>
  <si>
    <t>пот.рем.ліфта в ж/б, вул.Озерна,13 (п.3) м.Мик.</t>
  </si>
  <si>
    <t>пот.рем.ліфта в ж/б, вул.3Слобідська,26(п.2) м.Мик</t>
  </si>
  <si>
    <t>пот.рем.ліфта в ж/б, вул.Озерна,25 (п.3) м.Мик.</t>
  </si>
  <si>
    <t>пот.рем.ліфта в ж/б,вул.Айвазовського,6 (п.1) м.Мик.</t>
  </si>
  <si>
    <t>пот.рем.ліфта в ж/б,вул.Айвазовського,7(п.1) (лів.)м.Мик.</t>
  </si>
  <si>
    <t>пот.рем.ліфта в ж/б, вул.Лазурна,18 (п.1)  м.Мик.</t>
  </si>
  <si>
    <t>пот.рем.ліфта в ж/б,вул.Лазурна,28(п.4) м.Мик.</t>
  </si>
  <si>
    <t>пот.рем.ліфта в ж/б,в.Айвазовського,7 (п.1)(прав.)  м.Мик.</t>
  </si>
  <si>
    <t>пот.рем.ліфта в ж/б, вул.Океанівська,54(п.4) м.Мик.</t>
  </si>
  <si>
    <t>пот.рем.ліфта в ж/б,вул.Озерна, 35(п.2) м.Мик.</t>
  </si>
  <si>
    <t>пот.рем.ліфта в ж/б, вул.Погранична,69 м.Мик.</t>
  </si>
  <si>
    <t>пот.рем.ліфта в ж/б,вул.Океанівська,32 (п.4)м.Мик.</t>
  </si>
  <si>
    <t>пот.рем.ліфта в ж/б,вул.Океанівська,58А(п.2) м.Мик.</t>
  </si>
  <si>
    <t>пот.рем.ліфта в ж/б, пр.Центральний,184 (лів.) м.Мик.</t>
  </si>
  <si>
    <t>пот.рем.ліфта в ж/б, пр.Корабелів,4 (п.4) м.Мик.</t>
  </si>
  <si>
    <t>пот.рем.ліфта в ж/б, вул.Океанівська,64 (п.1) м.Мик.</t>
  </si>
  <si>
    <t xml:space="preserve"> пот.рем.ліфта в ж/б,вул.Защука,25 (п.2) м.Мик.</t>
  </si>
  <si>
    <t>пот.рем.ліфта в ж/б,вул.Лазурна,10А (п.1) в м.Мик.</t>
  </si>
  <si>
    <t xml:space="preserve">КНВП Тріботехніка             </t>
  </si>
  <si>
    <t xml:space="preserve">пот.рем.сх.кліт.із зам.вік.в ж/б,пр.Центр.,11 </t>
  </si>
  <si>
    <t>пот.рем.сх.кліт.із зам.вік.у ж/б,пр. Кораб.,18а м.Мик.</t>
  </si>
  <si>
    <t>пот.рем.сх.кл.із зам.вік.у ж/б,в.Театрал,2-А м.Мик.</t>
  </si>
  <si>
    <t xml:space="preserve">ЖКП ММР Бриз      </t>
  </si>
  <si>
    <t>пот.р.м'як.пок.ж/б по в.Океан.,40-Б м.Микол.</t>
  </si>
  <si>
    <t>пот.рем.м'як.покр.ж.б.,пр.Центральний, 141-Б м.Мик</t>
  </si>
  <si>
    <t xml:space="preserve">ПП "Будремком"                </t>
  </si>
  <si>
    <t>пот.рем.хол.водоп.ж.б.,пр.Гер.України,103 в м. Мик.</t>
  </si>
  <si>
    <t xml:space="preserve">   ТОВ "Трансбудвантаж"          </t>
  </si>
  <si>
    <t>пот.рем.хол.водоп. ж/б,вул. Фалеєвська,17в м. Мик.</t>
  </si>
  <si>
    <t xml:space="preserve">ТОВ Центральний 1             </t>
  </si>
  <si>
    <t>пот.рем.сист.хол.водоп..ж.б., вул.Колодязна,10 в м.Мик.</t>
  </si>
  <si>
    <t>пот.рем.ліфта в ж/б,пр.Центральний,187(п.1) в м.Мик.</t>
  </si>
  <si>
    <t>пот.рем.ліфта в ж/б,пр.Центральний,141Б (п.2) в м.Мик.</t>
  </si>
  <si>
    <t>пот.рем.ліфта в ж/б,пр.Богоявленський,334(п.1) в м.Мик.</t>
  </si>
  <si>
    <t>пот.рем.ліфта в ж/б,вул.Шнеєрсона,4 (п.2) в м.Мик.</t>
  </si>
  <si>
    <t>пот.рем.ліфта в ж/б,вул.Чкалова,82А(п.2) в м.Мик.</t>
  </si>
  <si>
    <t>пот.рем.ліфта в ж/б,вул.Чкалова,82(п.1) в м.Мик.</t>
  </si>
  <si>
    <t>пот.рем.ліфта в ж/б,вул.Соборна,9 (пас)в м.Мик.</t>
  </si>
  <si>
    <t>пот.рем.ліфта в ж/б,вул.Севастопол.,65 (п.1) в м.Мик.</t>
  </si>
  <si>
    <t>пот.рем.ліфта в ж/б,вул.Рибна,1/2(п.6) в м.Мик.</t>
  </si>
  <si>
    <t>пот.рем.ліфта в ж/б,вул.Потьомкінська,141(п.4) в м.Мик.</t>
  </si>
  <si>
    <t>пот.рем.ліфта в ж/б,вул.Погранична,20 (п.1) в м.Мик.</t>
  </si>
  <si>
    <t>пот.рем.ліфта в ж/б,вул.Океанівська,60(п.1) в м.Мик.</t>
  </si>
  <si>
    <t>пот.рем.ліфта в ж/б,вул.Океанівська,30 (п.1) в м.Мик.</t>
  </si>
  <si>
    <t>пот.рем.ліфта в ж/б,вул.Озерна,2 (п.1) в м.Мик.</t>
  </si>
  <si>
    <t>пот.рем.ліфта в ж/б,вул.Лазурна,4В(п.1) в м.Мик.</t>
  </si>
  <si>
    <t>пот.рем.ліфта в ж/б,вул.Лазурна,30 (п.2) в м.Мик.</t>
  </si>
  <si>
    <t>пот.рем.ліфта в ж/б,вул.Курортна,5 (п.2) в м.Мик.</t>
  </si>
  <si>
    <t>пот.рем.ліфта в ж/б,вул.Крилова,50А (п.2)  в м.Мик.</t>
  </si>
  <si>
    <t>пот.рем.ліфта в ж/б,вул.Крилова,38Б(п.2) в м.Мик.</t>
  </si>
  <si>
    <t>пот.рем.ліфта в ж/б,вул.Колодязна,5А (п.2) в м.Мик.</t>
  </si>
  <si>
    <t>пот.рем.ліфта в ж/б,вул.Колодязна,13 (п.2) в м.Мик.</t>
  </si>
  <si>
    <t>пот.рем.ліфта в ж/б,вул.В.Морська,6А в м.Мик.</t>
  </si>
  <si>
    <t>пот.рем.ліфта в ж/б,вул.6 Слобідська, 11(п.1) в м.Мик.</t>
  </si>
  <si>
    <t>пот.рем.ліфта в ж/б,вул. Металургів,8 (п.3) в м.Мик.</t>
  </si>
  <si>
    <t>пот.рем.ліфта в ж/б,вул. 6 Слобідська,7А (п.2) в м.Мик.</t>
  </si>
  <si>
    <t>пот.рем.ліфта в ж/б,вул. 6 Слобідська, 7(п.1) в м.Мик.</t>
  </si>
  <si>
    <t>пот.рем.ліфта в ж/б, вул.Озерна,11 (п.7) в м.Мик.</t>
  </si>
  <si>
    <t>пот.рем.ліфта в ж/б, вул.Київська,2 в м.Мик.</t>
  </si>
  <si>
    <t>пот.рем.ліф.ЛП-320Р в ж/б,пр.Корабелів,18а(п.4)в м.Мик.</t>
  </si>
  <si>
    <t>пот.рем.ліф.ЛП-320Р в ж/б,вул.Крилова,50(п.3) в м.Мик.</t>
  </si>
  <si>
    <t>пот.рем.ліф.ЛП-320Р в ж/б,вул.6 Слоб.,47(п.2) в м.Мик.</t>
  </si>
  <si>
    <t>пот.рем.ліф.ЛП-320Р в ж/б,в.Потьомкінс.,155(п.1) в м.Мик.</t>
  </si>
  <si>
    <t>Департамент житлово-комунального господарства Миколаївської міської ради</t>
  </si>
  <si>
    <t>ФОП Калдов Є.О.</t>
  </si>
  <si>
    <t xml:space="preserve">Поточний ремонт вентиляції легкоатлетичного манежу </t>
  </si>
  <si>
    <t>КУ Центральний міський стадіон</t>
  </si>
  <si>
    <t>м.Миколаїв  вул. Спортивна, 1/1</t>
  </si>
  <si>
    <t>ФОП  Вінець І.М.</t>
  </si>
  <si>
    <t>Поточний ремонт  легкоатлетичного манежу  бігових доріжок</t>
  </si>
  <si>
    <t>ФОП Копісов О.В.</t>
  </si>
  <si>
    <t>Поточний ремонт  легкоатлетичного манежу  покраска даху</t>
  </si>
  <si>
    <t>ТОВ "Тавріямонолітбуд"</t>
  </si>
  <si>
    <t>Поточний ремонт приміщень  адмінітративної будівлі  управління у справах фізичної культури і спорту ММр</t>
  </si>
  <si>
    <t>Централізована бухгалтерія</t>
  </si>
  <si>
    <t>м.Миколаїв вул.Потьомкінська ,95 а</t>
  </si>
  <si>
    <t>ТОВ "Ночной Дозор"</t>
  </si>
  <si>
    <t>ПКД "Поточний ремонт :монтаж і налагодження автономної сигналізації  в   Управлінні у справах фізичної культури та спорту ММР</t>
  </si>
  <si>
    <t>"Поточний ремонт :монтаж і налагодження автономної сигналізації  в   Управлінні у справах фізичної культури та спорту ММР</t>
  </si>
  <si>
    <t xml:space="preserve">"Поточний ремонт :монтаж і налагодження автономної сигналізації на гаражах в   Управлінні у справах фізичної культури та спорту ММР  </t>
  </si>
  <si>
    <t>ПП "Спецстройтехмонтаж"</t>
  </si>
  <si>
    <t>"Поточний ремонт 2 -х гаражів та санвузла в   Управлінні у справах фізичної культури та спорту ММР</t>
  </si>
  <si>
    <t>Монт аж блискавкозахисту  в приміщені ДЮСШ №7</t>
  </si>
  <si>
    <t>ДЮСШ №7</t>
  </si>
  <si>
    <t>м.Миколаїв вул.Артилерійська,20</t>
  </si>
  <si>
    <t>Монтаж автоматичної пожежної сигналізації в приміщені ДЮСШ №7</t>
  </si>
  <si>
    <t>м.Миколаїв вул.СК Ізмалкова,132</t>
  </si>
  <si>
    <t>Монтаж блисковкозахисту  в приміщені ДЮСШ №5</t>
  </si>
  <si>
    <t>ДЮСШ5</t>
  </si>
  <si>
    <t xml:space="preserve"> м.Миколаїв  вул.Приозерна,2 </t>
  </si>
  <si>
    <t>ТОВ "Фірма Ремтех"</t>
  </si>
  <si>
    <t>Поточний ремонт зовнішньої каналізації</t>
  </si>
  <si>
    <t>м.Миколаїв пр.Богоявленський, 253 А/3</t>
  </si>
  <si>
    <t>Монтаж автопожежної сигналізації в приміщені ДЮСШ №5</t>
  </si>
  <si>
    <t>ПКД " монтаж автономної пожежної сигналізації в приміщеннях ДЮСШ5</t>
  </si>
  <si>
    <t>ФОП Жуковський В.Є.</t>
  </si>
  <si>
    <t>Поточний ремонт з заміною металопластикових вікон ДЮСШ №5</t>
  </si>
  <si>
    <t>ДЮСШ 5</t>
  </si>
  <si>
    <t>ТОВ Фірма "Контур -Контакт"</t>
  </si>
  <si>
    <t>53,664,84</t>
  </si>
  <si>
    <t xml:space="preserve">Поточний ремонт кабельної лінії в ДЮСШ №5 </t>
  </si>
  <si>
    <t>м.Миколаїв пр.Богоявленський, 253 А/2</t>
  </si>
  <si>
    <t>ПП " Спецстройтехмонтаж"</t>
  </si>
  <si>
    <t xml:space="preserve">Поточний ремонт покрівлі зимового майданчика ДЮСШ №5 </t>
  </si>
  <si>
    <t>м.Миколаїв пр.Богоявленський, 253 А/1</t>
  </si>
  <si>
    <t>монтаж автономної пожежної сигналізації в приміщеннях ДЮСШ5</t>
  </si>
  <si>
    <t>ТОВ "Фірма "РЕМТЕХ"</t>
  </si>
  <si>
    <t xml:space="preserve">Поточний ремонтводопроводу та каналізаціїї ДЮСШ №5 </t>
  </si>
  <si>
    <t>ТОВ "Медтехсервіс"</t>
  </si>
  <si>
    <t xml:space="preserve">Електровимірювання пристроїв , що заземлюються СДЮСШОР 4 </t>
  </si>
  <si>
    <t>СДЮСШОР 4</t>
  </si>
  <si>
    <t>м.Миколаїв,вул.Герерала Карапенка,40А.</t>
  </si>
  <si>
    <t>ТОВ "ПИК - МОНТАЖ"</t>
  </si>
  <si>
    <t>"Поточний ремонт приміщень гаражів в ДЮСШ 3</t>
  </si>
  <si>
    <t>ДЮСШ 3</t>
  </si>
  <si>
    <t>м.Миколаїв вул.Погранична, 45</t>
  </si>
  <si>
    <t>"Поточний ремонт огорожі в ДЮСШ 3</t>
  </si>
  <si>
    <t>ФОП Могуренко В.В.</t>
  </si>
  <si>
    <t>"Поточний ремонт з установки системи відооспостереженняв ДЮСШ 3</t>
  </si>
  <si>
    <t>Фоп Поліщук Г.І.</t>
  </si>
  <si>
    <t>"Поточний ремонта системи каналізаціїи ФОК в КДЮСШ "Олімп"</t>
  </si>
  <si>
    <t>КДЮСШ "Олімп"</t>
  </si>
  <si>
    <t>м.Миколаїв вул. Новобудівнав,1-б.</t>
  </si>
  <si>
    <t>ТОВ АКВАСЕРВІС ГРУП"</t>
  </si>
  <si>
    <t>"Поточний ремонта системи каналізаціїи ФОК  в  КДЮСШ "Олімп"</t>
  </si>
  <si>
    <t>ТОВ " Вулкан-Н"</t>
  </si>
  <si>
    <t>"Поточний ремонт теплового вузла та системи вентиляції спортивної зали ФОК в КДЮСШ "Олімп"</t>
  </si>
  <si>
    <t>"Поточний ремонт теплового вузла та системи вентиляції спортивної зали ФОК  в  КДЮСШ "Олімп"</t>
  </si>
  <si>
    <t>м.Миколаїв пр.Корабелів,1/1.</t>
  </si>
  <si>
    <t>ТОВ "Будівельна компанія "Контакт-Жилбуд"</t>
  </si>
  <si>
    <t xml:space="preserve">"Поточний ремонт системи відеоспостереження в ФОК  в  КДЮСШ "Олімп" </t>
  </si>
  <si>
    <t>ТОВ "ЛК-БУДСЕРВІС"</t>
  </si>
  <si>
    <t>"Поточний ремонт приміщень (тренажерний зал, жіноча та чоловіча роздягальні) КДЮСШ "Олімп"</t>
  </si>
  <si>
    <t>м.Миколаїв                              вул. Новобудівнав,1-б.</t>
  </si>
  <si>
    <t>"Поточний ремонт приміщень  КДЮСШ "Олімп"</t>
  </si>
  <si>
    <t xml:space="preserve"> "Поточний ремонт: монтаж автономної пожежної сигналізації в приміщеннях будівлі  КДЮСШ "Олімп"(Яхт - клуб)</t>
  </si>
  <si>
    <t xml:space="preserve">ПКД "Поточний ремонт: монтаж автономної пожежної сигналізації в приміщеннях будівлі  КДЮСШ "Олімп"(Яхт - клуб) </t>
  </si>
  <si>
    <t>Поточний ремонт: монтаж і налагодження автономної   сигналізації в приміщеннях КДЮСШ "Олімп"</t>
  </si>
  <si>
    <t xml:space="preserve"> м.Миколаїв пр.Богоявленський,325</t>
  </si>
  <si>
    <t>ПП " Реалбудсервіс"</t>
  </si>
  <si>
    <t>Поточний ремонт огорожі КДЮСШ " Комунарівець"</t>
  </si>
  <si>
    <t>КДЮСШ "Комунарівець"</t>
  </si>
  <si>
    <t xml:space="preserve"> м.Миколаїв                                      пр.Героїв України 2/4.</t>
  </si>
  <si>
    <t>ФОП Нікора А.В.</t>
  </si>
  <si>
    <t>Поточний ремонт воріт КДЮСШ " Комунарівець"</t>
  </si>
  <si>
    <t xml:space="preserve"> м.Миколаїв                                  пр.Героїв України 2/4.</t>
  </si>
  <si>
    <t>Поточний ремонт бані та душу КДЮСШ " Комунарівець"</t>
  </si>
  <si>
    <t xml:space="preserve"> м.Миколаїв  пр.Героїв України 2/4.</t>
  </si>
  <si>
    <t>Поточний ремонтвстановлення відеоспостереженняв  КДЮСШ "Комунарівець"</t>
  </si>
  <si>
    <t>ФОП Бучко О.М.</t>
  </si>
  <si>
    <t>Поточний ремонт вуличного туалету в  КДЮСШ "Комунарівець"</t>
  </si>
  <si>
    <t>Поточний ремонт бейсбольного майданчика в  дитячо- юнацької спортивної школи "Комунарівець"</t>
  </si>
  <si>
    <t xml:space="preserve"> м.Миколаїв,                             пр.Героїв України 2/4.</t>
  </si>
  <si>
    <t>ТОВ СЦ Нікоінтерм"</t>
  </si>
  <si>
    <t>"Поточний ремонт електрообладнання і автоматики газової котельні  СДЮСШОР з фехтування,</t>
  </si>
  <si>
    <t>СДЮСШОР з фехтування</t>
  </si>
  <si>
    <t>м.Миколаїв,                                  вул. Пушкінська,11</t>
  </si>
  <si>
    <t xml:space="preserve">"Поточний ремонт холлу СДЮСШОР з фехтування </t>
  </si>
  <si>
    <t>м.Миколаїв,                                вул. Пушкінська, 11</t>
  </si>
  <si>
    <t>ТОВ " Ночной Дозор"</t>
  </si>
  <si>
    <t>"Поточний ремонт: монтаж автономної пожежної сигналізації в приміщеннях будівлі СДЮШОР з велоспорту</t>
  </si>
  <si>
    <t>СДЮСШОР з велоспорту</t>
  </si>
  <si>
    <t>м.Миколаїв, вул.Бузника 2-а</t>
  </si>
  <si>
    <t>м.Миколаїв    вул.Гмирьова, 7</t>
  </si>
  <si>
    <t>ПКД "Поточний ремонт: монтаж автономної пожежної сигналізації в приміщеннях будівлі СДЮШОР з велоспорту</t>
  </si>
  <si>
    <t>м.Миколаїв, вул.Бузника, 4-А.</t>
  </si>
  <si>
    <t>Управління у справах фізичної культури і спорту ММР</t>
  </si>
  <si>
    <t>ТОВ "Інжиніринг-Груп"</t>
  </si>
  <si>
    <t xml:space="preserve">вимощення плиткою частини внутрішнього двору Миколаївського міського палацу культури "Корабельний" </t>
  </si>
  <si>
    <t>Поточний ремонт вимощення плиткою частини внутрішнього двору Миколаївського міського палацу культури "Корабельний" за адресою: пр.Богоявленський, 328, м.Миколаїв</t>
  </si>
  <si>
    <t xml:space="preserve"> м. Миколаїв, пр. Богоявленський, 328</t>
  </si>
  <si>
    <t>Управління з питань культури та охорони культурної спадщини ММР</t>
  </si>
  <si>
    <t>Разом по департаменту</t>
  </si>
  <si>
    <t>Всього по МТЦ</t>
  </si>
  <si>
    <t>ТОВ Фаворит -Люкс</t>
  </si>
  <si>
    <t>Поточний ремонт бокового фасаду відділень   Центрального району  МТЦ</t>
  </si>
  <si>
    <t>Відділення  Центрального району МТЦ</t>
  </si>
  <si>
    <t>Вул.Шевченка,19 -А</t>
  </si>
  <si>
    <t xml:space="preserve">Поточний ремонт кабінетів   відділення   денного перебування  </t>
  </si>
  <si>
    <t>Відділення  денного перебування  Корабельного району МТЦ</t>
  </si>
  <si>
    <t>Пр.Богоявленський 301/2</t>
  </si>
  <si>
    <t>ФОП Верещагін А.А.</t>
  </si>
  <si>
    <t>Поточний ремонт системи водопостачання та водовідведення</t>
  </si>
  <si>
    <t>Відділення   Корабельного району  МТЦ</t>
  </si>
  <si>
    <t>Вул.Металургів, 8/4</t>
  </si>
  <si>
    <t>Міський територіальний центр соціального обслуговування (надання соціальних послуг)</t>
  </si>
  <si>
    <t>по ДПСЗН</t>
  </si>
  <si>
    <t>ФОП Борзов С.Є.</t>
  </si>
  <si>
    <t>Поточний ремонт сходів до підвального приміщення в УСВіК Заводського р-ну</t>
  </si>
  <si>
    <t>Поточний ремонт в приміщенні УСВіК Заводського р-ну ДПСЗН ММР</t>
  </si>
  <si>
    <t>м.Миколаїв, вул. Морехідна, 9/2</t>
  </si>
  <si>
    <t>Поточний ремонт кабінетів в УСВіК Центрального р-ну</t>
  </si>
  <si>
    <t>Поточний ремонт в приміщенні УСВіК Центрального р-ну ДПСЗН ММР</t>
  </si>
  <si>
    <t>м.Миколаїв, вул. Декабристів, 25</t>
  </si>
  <si>
    <t>Поточний ремонт коридора та туалета в УСВіК Заводського р-ну</t>
  </si>
  <si>
    <t xml:space="preserve">Улаштування підвісної стелі та монтаж світильників в приміщеннях УСВіК Корабельного р-ну </t>
  </si>
  <si>
    <t>Поточний ремонт в приміщенні УСВіК Корабельного р-ну ДПСЗН ММР</t>
  </si>
  <si>
    <t>м.Миколаїв, вул. Новобудівна, 1/1</t>
  </si>
  <si>
    <t>Департамент праці та соціального захисту населення Миколаївської міської ради</t>
  </si>
  <si>
    <t>ПП "Віконце"</t>
  </si>
  <si>
    <t>Проведення поточного ремонту приміщень міської лікарні №5 із заміною вікон та дверей на металопластикові</t>
  </si>
  <si>
    <t>м. Миколаїв, просп. Богоявленський, 336</t>
  </si>
  <si>
    <t>КНВП "Тріботехніка"</t>
  </si>
  <si>
    <t>Проведення поточного ремонту приміщень міської лікарні №4 із заміною дверей на металопластикові</t>
  </si>
  <si>
    <t>м. Миколаїв, вул. Ад,Макарова,1</t>
  </si>
  <si>
    <t>Управління охорони здоров'я Миколаївської міської ради</t>
  </si>
  <si>
    <t>ФОП Котков В.В.</t>
  </si>
  <si>
    <t>Ремонт кабінетів для педпрацівників та адміністрації, заміна лінолеуму, дверей, освітлення. Встановлення перегородки з металопластиковими дверми.</t>
  </si>
  <si>
    <t>ІРЦ №3</t>
  </si>
  <si>
    <t>54038,м. Миколаїв, вул. Курортна,2-А</t>
  </si>
  <si>
    <t>ФОП "Володкович Т.О."</t>
  </si>
  <si>
    <t>поточний ремонт приміщень</t>
  </si>
  <si>
    <t>ІРЦ№4</t>
  </si>
  <si>
    <t>54056, м. Миколаїв ,пр.Миру 50</t>
  </si>
  <si>
    <t>ФОП Решетняк Є.В.</t>
  </si>
  <si>
    <t>ремонт приміщення</t>
  </si>
  <si>
    <t>ІРЦ №2</t>
  </si>
  <si>
    <t>54050,м. Миколаїв, вул. Гетьмана Сагайдачного,92</t>
  </si>
  <si>
    <t>ФОП Кілочек С.В.</t>
  </si>
  <si>
    <t>Поточний ремонт системи енергопостачання</t>
  </si>
  <si>
    <t>ІРЦ№1</t>
  </si>
  <si>
    <t>м.Миколаїв вул. Даля,11-А</t>
  </si>
  <si>
    <t>ФОП Бердник А.М.</t>
  </si>
  <si>
    <t>Поточний ремонт покрівлі</t>
  </si>
  <si>
    <t xml:space="preserve">ФОП Кілочек </t>
  </si>
  <si>
    <t>ремонт системи енергопостачання</t>
  </si>
  <si>
    <t>ФОП Дробуш Є.В.</t>
  </si>
  <si>
    <t xml:space="preserve">поточний ремонт системи каналізації МСНВК   у м. Миколаєва </t>
  </si>
  <si>
    <t xml:space="preserve">Миколаївський спеціальний навчально-виховний комплекс  для дітей із зниженим зором 
Інгульський р-н
</t>
  </si>
  <si>
    <t>54056 м. Миколаїв  пр. Миру, 21-В</t>
  </si>
  <si>
    <t>ФОП Вербицький Д.С.</t>
  </si>
  <si>
    <t xml:space="preserve">поточний ремонт приміщення   ВСШ № 1 у м. Миколаєва </t>
  </si>
  <si>
    <t xml:space="preserve">Миколаївська
вечірня школа
№1
Миколаївської міської ради Миколаївської області
</t>
  </si>
  <si>
    <t>54020 м. Миколаїв  вул. Пушкінська, 73 А</t>
  </si>
  <si>
    <t>ФОП Писаренко В.В.</t>
  </si>
  <si>
    <t xml:space="preserve">поточний ремонт системи водовідведення  БТДЮ Інгульського району у м. Миколаєва </t>
  </si>
  <si>
    <t xml:space="preserve">Будинок творчості дітей та юнацтва Інгульського району </t>
  </si>
  <si>
    <t>54028
м. Миколаїв
вул. Космонавтів, 128А</t>
  </si>
  <si>
    <t>ПП "Монолітбудсервіс"</t>
  </si>
  <si>
    <t xml:space="preserve">поточний ремонт приміщення БУ у м. Миколаєва </t>
  </si>
  <si>
    <t>Будинок учителя</t>
  </si>
  <si>
    <t>54003 м. Миколаїв                          пр. Центральний, 166</t>
  </si>
  <si>
    <t xml:space="preserve">поточний ремонт системи енергопостачання КЮМ у м. Миколаєва </t>
  </si>
  <si>
    <t>Клуб юних моряків з флотилією</t>
  </si>
  <si>
    <t>54001 м. Миколаїв  Інгульський узвіз, 2</t>
  </si>
  <si>
    <t xml:space="preserve">поточний ремонт приміщень МСЮН у м. Миколаєва </t>
  </si>
  <si>
    <t>Міська станція юних натуралістів</t>
  </si>
  <si>
    <t>54022 м. Миколаїв  вул. Прибугська, 83</t>
  </si>
  <si>
    <t xml:space="preserve">поточний ремонт покрівлі  ВСШ № 1 у м. Миколаєва </t>
  </si>
  <si>
    <t xml:space="preserve">поточний ремонт приміщення з облаштуванням протипожежних дверей ДНЗ № 134 м. Миколаєва </t>
  </si>
  <si>
    <t>Заклад дошкільної освіти № 134 "Журавлик" м. Миколаєва</t>
  </si>
  <si>
    <t>54051                                          м.Миколаїв,                      вул. Попеля, 156</t>
  </si>
  <si>
    <t>поточний ремонт  управління освіти з улаштуванням пандусу  в м. Миколаєві</t>
  </si>
  <si>
    <t>Група з централізованого господарського обслуговування</t>
  </si>
  <si>
    <t>54001 м. Миколаїв  вул. Інженерна, 3</t>
  </si>
  <si>
    <t>ТОВ "НІКПОЖТЕХСЕРВІС "</t>
  </si>
  <si>
    <t xml:space="preserve">поточний ремонт покрівлі (вогнезахисна обробка дерев'яних конструкцій покрівлі) ДНЗ № 128 в м. Миколаєві </t>
  </si>
  <si>
    <t>Заклад дошкільної освіти № 128 "Сонечко" м. Миколаєва</t>
  </si>
  <si>
    <t>54001                                          м.Миколаїв,                      вул. Макарова, 62а</t>
  </si>
  <si>
    <t xml:space="preserve">поточний ремонт системи водовідведення ДНЗ № 68 в м. Миколаєві </t>
  </si>
  <si>
    <t>Заклад дошкільної освіти № 68 "Ромашка" м. Миколаєва</t>
  </si>
  <si>
    <t>54039                                          м.Миколаїв,                      вул.1-а Екіпажна, 4</t>
  </si>
  <si>
    <t xml:space="preserve">поточний ремонт приміщення з заміною вікон ДНЗ № 68 у м. Миколаєва </t>
  </si>
  <si>
    <t xml:space="preserve">поточний ремонт системи водовідведення ДНЗ № 49 в м. Миколаєві </t>
  </si>
  <si>
    <t>Заклад дошкільної освіти № 49 "Марічка" м. Миколаєва</t>
  </si>
  <si>
    <t>54058                                          м.Миколаїв,                      вул.Лазурна, 44</t>
  </si>
  <si>
    <t>ФОП Круліковський К.Я.</t>
  </si>
  <si>
    <t xml:space="preserve">поточний ремонт приміщення з заміною протипожежних дверей ДНЗ № 12 м. Миколаєва </t>
  </si>
  <si>
    <t xml:space="preserve">Дошкільний навчальний заклад № 12 «Кораблик» м.Миколаєва
</t>
  </si>
  <si>
    <t xml:space="preserve">54058                                  м.Миколаїв  вул.Лазурна, 22 </t>
  </si>
  <si>
    <t xml:space="preserve">поточний ремонт приміщень ДНЗ № 79 у м. Миколаєва </t>
  </si>
  <si>
    <t>Заклад дошкільної освіти № 79 "Волошка" м. Миколаєва</t>
  </si>
  <si>
    <t>54007                                          м.Миколаїв,                      вул.Казарського, 1</t>
  </si>
  <si>
    <t>ПП "Портал Комп"</t>
  </si>
  <si>
    <t>поточний ремонт сигналізації загазованості топковій  ДНЗ № 138 в м. Миколаєві</t>
  </si>
  <si>
    <t>Заклад дошкільної освіти № 138  м. Миколаєва</t>
  </si>
  <si>
    <t xml:space="preserve">54052
м. Миколаїв 
вул. Г. Попеля, 79
</t>
  </si>
  <si>
    <t>ПП "Югтепломер-Сервіс"</t>
  </si>
  <si>
    <t>поточний ремонт системи газопостачання із заміною вузла обліку газу в топковій  ДНЗ № 112 в м. Миколаєві</t>
  </si>
  <si>
    <t>Заклад дошкільної освіти № 112 "Журавлик" м. Миколаєва</t>
  </si>
  <si>
    <t>54046                                          м.Миколаїв,                      вул. Іванова, 34</t>
  </si>
  <si>
    <t>поточний ремонт системи каналізації в ДНЗ № 71 в м. Миколаєві</t>
  </si>
  <si>
    <t>Заклад дошкільної освіти № 71 "Маяк" м. Миколаєва</t>
  </si>
  <si>
    <t>54018                                          м.Миколаїв,                      вул.Чайковського, 16</t>
  </si>
  <si>
    <t xml:space="preserve">поточний ремонт приміщення з заміною вікон ДНЗ № 20 у м. Миколаєва </t>
  </si>
  <si>
    <t xml:space="preserve">Дошкільний навчальний заклад № 20 «Юний чорноморець» м.Миколаєва
</t>
  </si>
  <si>
    <t xml:space="preserve">54017                                  м.Миколаїв  вул.Корабелів,6 </t>
  </si>
  <si>
    <t>поточний ремонт системи опалення в ДНЗ № 66 в м. Миколаєві</t>
  </si>
  <si>
    <t>Заклад дошкільної освіти № 66 "Вогник" м. Миколаєва</t>
  </si>
  <si>
    <t>54007                                          м.Миколаїв,                      вул.Квітнева, 4</t>
  </si>
  <si>
    <t>поточний ремонт системи опалення в ДНЗ № 50 в м. Миколаєві</t>
  </si>
  <si>
    <t>Заклад дошкільної освіти № 50 "Дельфін" м. Миколаєва</t>
  </si>
  <si>
    <t>54018                                          м.Миколаїв,                      вул.Космонавтів, 56</t>
  </si>
  <si>
    <t xml:space="preserve">поточний ремонт приміщення з заміною вікон ДНЗ № 125 у м. Миколаєва </t>
  </si>
  <si>
    <t>Заклад дошкільної освіти № 125 "Іскорка" м. Миколаєва</t>
  </si>
  <si>
    <t>54052                                          м.Миколаїв,                      вул. Океанівська, 6</t>
  </si>
  <si>
    <t xml:space="preserve">поточний ремонт двору ДНЗ № 59 у м. Миколаєва </t>
  </si>
  <si>
    <t>Заклад дошкільної освіти № 59 "Перлинка" м. Миколаєва</t>
  </si>
  <si>
    <t>54015                                          м.Миколаїв,                      вул.Бузника, 12А</t>
  </si>
  <si>
    <t xml:space="preserve">поточний ремонт приміщення з заміною вікон ДНЗ № 134 у м. Миколаєва </t>
  </si>
  <si>
    <t>ТОВ "Безпека Сервіс Південь"</t>
  </si>
  <si>
    <t xml:space="preserve">поточний ремонт приміщення з облаштуванням протипожежних дверей ДНЗ № 141 м. Миколаєва </t>
  </si>
  <si>
    <t>Заклад дошкільної освіти № 141 "Зірочка" м. Миколаєва</t>
  </si>
  <si>
    <t>54025                                          м.Миколаїв,                      пр. Героїв України, 85-А</t>
  </si>
  <si>
    <t xml:space="preserve">поточний ремонт системи водопостачання ДНЗ № 131 в м. Миколаєві </t>
  </si>
  <si>
    <t>Заклад дошкільної освіти № 131 "Калинонька" м. Миколаєва</t>
  </si>
  <si>
    <t>54037                                          м.Миколаїв,                      вул. Космодемянської, 12-А</t>
  </si>
  <si>
    <t xml:space="preserve">поточний ремонт приміщення ДНЗ № 111 у м. Миколаєва </t>
  </si>
  <si>
    <t>Заклад дошкільної освіти № 111 "Буратіно" м. Миколаєва</t>
  </si>
  <si>
    <t>54052                                          м.Миколаїв,                      пр. Корабелів, 4-А</t>
  </si>
  <si>
    <t xml:space="preserve">поточний ремонт санвузла ДНЗ № 139 у м. Миколаєва </t>
  </si>
  <si>
    <t>Заклад дошкільної освіти № 139 "Золотий півник" м. Миколаєва</t>
  </si>
  <si>
    <t>54051                                          м.Миколаїв,                      вул. Океанівська, 28А</t>
  </si>
  <si>
    <t xml:space="preserve">поточний ремонт покрівлі -  вогнезахисна обробка сумішшю елементів дерев'яних конструкцій покрівлі  ЗОШ № 32 в м. Миколаєві </t>
  </si>
  <si>
    <t>Миколаївська загальноосвітня школа І-ІІІ ступенів №32 Миколаївської міської ради Миколаївської області</t>
  </si>
  <si>
    <t>54025
м. Миколаїв,                                                          вул. Оберегова, 1</t>
  </si>
  <si>
    <t xml:space="preserve">поточний ремонт приміщень  з облаштуванням протипожежних дверей ЗОШ № 34 в м. Миколаєві </t>
  </si>
  <si>
    <t>Миколаївська
загальноосвітня школа І-ІІІ ступенів № 34
Миколаївської міської ради Миколаївської області</t>
  </si>
  <si>
    <t>54017                                                      м. Миколаїв                        вул.Лягіна, 28</t>
  </si>
  <si>
    <t>ТОВ "Фенікс Юг"</t>
  </si>
  <si>
    <t xml:space="preserve">поточний ремонт покрівлі -  вогнезахисна обробка сумішшю елементів дерев'яних конструкцій покрівлі  ЗОШ № 16 в м. Миколаєві </t>
  </si>
  <si>
    <t>Миколаївська
загальноосвітня школа І-ІІІ ступенів № 16
Миколаївської міської ради Миколаївської області</t>
  </si>
  <si>
    <t>54056  м. Миколаїв                        вул. Христо Ботєва, 41</t>
  </si>
  <si>
    <t xml:space="preserve">поточний ремонт покрівлі -  вогнезахисна обробка сумішшю елементів дерев'яних конструкцій покрівлі  ЗОШ № 7 в м. Миколаєві </t>
  </si>
  <si>
    <t>Миколаївська
загальноосвітня школа І-ІІІ ступенів № 7
Миколаївської міської ради Миколаївської області</t>
  </si>
  <si>
    <t>54001  м. Миколаїв                        вул. Потьомкінська, 45/47</t>
  </si>
  <si>
    <t>поточний ремонт приміщень з облаштуванням протипожежних дверей  ЗОШ № 53 в м. Миколаєві</t>
  </si>
  <si>
    <t>Миколаївська
загальноосвітня школа І-ІІІ ступенів № 53
Миколаївської міської ради Миколаївської області</t>
  </si>
  <si>
    <t>54003  м. Миколаїв                        вул.Потьомкінська, 154</t>
  </si>
  <si>
    <t xml:space="preserve">поточний ремонт системи каналізації  ЗОШ№ 28 в м. Миколаєві   </t>
  </si>
  <si>
    <t>Миколаївська
загальноосвітня школа І-ІІІ ступенів № 28
Миколаївської міської ради Миколаївської області</t>
  </si>
  <si>
    <t>54018
м. Миколаїв
вул. Чайковського, 30</t>
  </si>
  <si>
    <t xml:space="preserve">поточний ремонт системи водопостачання  ЗОШ№ 25 в м. Миколаєві   </t>
  </si>
  <si>
    <t>Миколаївська
загальноосвітня школа І-ІІІ ступенів № 25
Миколаївської міської ради Миколаївської області</t>
  </si>
  <si>
    <t>54020
м. Миколаїв
вул. Защука, 2 А</t>
  </si>
  <si>
    <t>ТОВ Безпека Сервіс Південь</t>
  </si>
  <si>
    <t xml:space="preserve">поточний ремонт приміщень  з облаштуванням протипожежних дверей ЗОШ № 7 в м. Миколаєві </t>
  </si>
  <si>
    <t>54001   м. Миколаїв                        вул. Потьомкінська, 45/47</t>
  </si>
  <si>
    <t>ФОП Кілочек Є.В.</t>
  </si>
  <si>
    <t xml:space="preserve">поточний ремонт системи енергопостачання   ЗОШ№ 40 в м. Миколаєві </t>
  </si>
  <si>
    <t>Миколаївська
загальноосвітня школа І-ІІІ ступенів № 40
Миколаївської міської ради Миколаївської області</t>
  </si>
  <si>
    <t>54050   м. Миколаїв                        вул.Металургів, 97/1</t>
  </si>
  <si>
    <t>ПП "Олкріс"</t>
  </si>
  <si>
    <t xml:space="preserve">поточний ремонт приміщень  ПУГ в м. Миколаєві </t>
  </si>
  <si>
    <t xml:space="preserve">Перша українська гімназія імені Миколи Аркаса
Миколаївської міської ради Миколаївської області
</t>
  </si>
  <si>
    <t>54030
м. Миколаїв
вул. Нікольська, 34</t>
  </si>
  <si>
    <t xml:space="preserve">поточний ремонт каналізації   ЗОШ№ 28 в м. Миколаєві </t>
  </si>
  <si>
    <t>поточний ремонт приміщення з заміною металопластикових вікон  гімназії 41  в м. Миколаєві</t>
  </si>
  <si>
    <t>Гімназія №41 Миколаївської міської ради Миколаївської області</t>
  </si>
  <si>
    <t>54018                                                         м. Миколаїв,  вул. Театральна, 41</t>
  </si>
  <si>
    <t xml:space="preserve">поточний ремонт санвузлів  ЗОШ№ 30 в м. Миколаєві </t>
  </si>
  <si>
    <t>Миколаївська
загальноосвітня школа І-ІІІ ступенів № 30
Миколаївської міської ради Миколаївської області</t>
  </si>
  <si>
    <t>54007
м. Миколаїв
вул. Квітнева, 50</t>
  </si>
  <si>
    <t>поточний ремонт приміщення з заміною металопластикових дверей  ЗОШ№ 39  в м. Миколаєві</t>
  </si>
  <si>
    <t>Миколаївська
загальноосвітня школа І-ІІІ ступенів №39
Миколаївської міської ради Миколаївської області</t>
  </si>
  <si>
    <t xml:space="preserve">54030
м. Миколаїв 
вул. Нікольська, 6
</t>
  </si>
  <si>
    <t xml:space="preserve">поточний ремонт системи опалення  ЗОШ№ 44 в м. Миколаєві   </t>
  </si>
  <si>
    <t>Миколаївська
загальноосвітня школа І-ІІІ ступенів № 44
Миколаївської міської ради Миколаївської області</t>
  </si>
  <si>
    <t>54037   м. Миколаїв                        вул.Знаменгська, 2/6</t>
  </si>
  <si>
    <t xml:space="preserve">поточний ремонт системи опалення  ЗОШ№ 12 в м. Миколаєві   </t>
  </si>
  <si>
    <t>Миколаївська загальноосвітня школа І-ІІІ ступенів №12 Миколаївської міської ради Миколаївської області</t>
  </si>
  <si>
    <t>54039
м. Миколаїв,                                                          вул. 1-ша Екіпажна, 2</t>
  </si>
  <si>
    <t xml:space="preserve">поточний ремонт приміщень  ЗОШ№ 6 в м. Миколаєві </t>
  </si>
  <si>
    <t>Миколаївська
загальноосвітня школа І-ІІІ ступенів № 6
Миколаївської міської ради Миколаївської області</t>
  </si>
  <si>
    <t>54038    м. Миколаїв                        вул. Курортна, 2А</t>
  </si>
  <si>
    <t xml:space="preserve">поточний ремонт покрівлі   ЗОШ№ 23 в м. Миколаєві </t>
  </si>
  <si>
    <t>Миколаївська
загальноосвітня школа І-ІІІ ступенів № 23
Миколаївської міської ради Миколаївської області</t>
  </si>
  <si>
    <t>57156   м. Миколаїв                                   Велика Корениха                  вул.Гарнізонна, 10</t>
  </si>
  <si>
    <t>ФОП Поліщук О.В.</t>
  </si>
  <si>
    <t xml:space="preserve">поточний ремонт системи енергопостачання демонтаж та монтаж електролічильників  ЗОШ№ 22 в м. Миколаєві   </t>
  </si>
  <si>
    <t>Миколаївська
загальноосвітня школа І-ІІІ ступенів № 22
Миколаївської міської ради Миколаївської області</t>
  </si>
  <si>
    <t>54029    м. Миколаїв                        вул. Робоча, 8</t>
  </si>
  <si>
    <t xml:space="preserve">поточний ремонт системи водопостачання  ЗОШ№ 23 в м. Миколаєві   </t>
  </si>
  <si>
    <t>57156  м. Миколаїв                                   Велика Корениха                  вул.Гарнізонна, 10</t>
  </si>
  <si>
    <t xml:space="preserve">поточний ремонт приміщень  ЗОШ№ 28 в м. Миколаєві </t>
  </si>
  <si>
    <t>ФОП Заклепний В.М.</t>
  </si>
  <si>
    <t xml:space="preserve">поточний ремонт системи опалення  ЗОШ№ 25 в м. Миколаєві   </t>
  </si>
  <si>
    <t xml:space="preserve">поточний ремонт фасаду  гімназії №41 в м. Миколаєві   </t>
  </si>
  <si>
    <t>МПБП "Карід"</t>
  </si>
  <si>
    <t xml:space="preserve">поточний ремонт системи опалення  ЗОШ№20 в м. Миколаєві   </t>
  </si>
  <si>
    <t>Миколаївська
загальноосвітня школа І-ІІІ ступенів № 20
Миколаївської міської ради Миколаївської області</t>
  </si>
  <si>
    <t>54056
м. Миколаїв
вул. Космонавтів, 70</t>
  </si>
  <si>
    <t>поточний ремонт приміщення з заміною металопластикових вікон  ЗОШ№ 10  в м. Миколаєві</t>
  </si>
  <si>
    <t>Миколаївська
загальноосвітня школа І-ІІІ ступенів № 10
Миколаївської міської ради Миколаївської області</t>
  </si>
  <si>
    <t>54034                                        м.Миколаїв,             пр.Богоявленський, 20-Б</t>
  </si>
  <si>
    <t>ТОВ "Компанія Нікон-Буд"</t>
  </si>
  <si>
    <t xml:space="preserve">поточний ремонт ганку з улаштуванням пандусу ЗОШ№40 в м. Миколаєві </t>
  </si>
  <si>
    <t>54050  м. Миколаїв                        вул.Металургів, 97/1</t>
  </si>
  <si>
    <t>ФОП Лінчаковський М.М.</t>
  </si>
  <si>
    <t>поточний ремонт системи опалення  ЗОШ№ 61 в м. Миколаєві</t>
  </si>
  <si>
    <t>Миколаївська загальноосвітня школа І-ІІІ ступенів № 61 Миколаївської міської ради Миколаївської області</t>
  </si>
  <si>
    <t>54036
м. Миколаїв
вул. Олександра Матросова, 2</t>
  </si>
  <si>
    <t xml:space="preserve">поточний ремонт системи водопостачання  ЗОШ№61 в м. Миколаєві </t>
  </si>
  <si>
    <t xml:space="preserve">поточний ремонт приміщень  ЗОШ№50 в м. Миколаєві </t>
  </si>
  <si>
    <t>Миколаївська
загальноосвітня школа І-ІІІ ступенів № 50
Миколаївської міської ради Миколаївської області</t>
  </si>
  <si>
    <t>54056
м. Миколаїв
пр. Миру, 50</t>
  </si>
  <si>
    <t xml:space="preserve">поточний ремонт приміщення ЦБ управління освіти в м. Миколаєва   </t>
  </si>
  <si>
    <t xml:space="preserve">54001
М. Миколапїв
вул.Мала Морьська,3
 </t>
  </si>
  <si>
    <t xml:space="preserve">поточний ремонт системи водовідведення ДНЗ № 29 у м. Миколаєва </t>
  </si>
  <si>
    <t>Заклад дошкільної освіти № 29 "Саманта" м. Миколаєва</t>
  </si>
  <si>
    <t>54003                                          м.Миколаїв,  вул. Колодязна, 9</t>
  </si>
  <si>
    <t xml:space="preserve">поточний ремонт системи водопостачання ДНЗ№147 в м. Миколаєві рах.7 від 01.10.19 </t>
  </si>
  <si>
    <t>Заклад дошкільної освіти № 147 "Зіронька" м. Миколаєва</t>
  </si>
  <si>
    <t>57156                                          м.Миколаїв,          В.Корениха                                        вул. Гарнізонна, 10-А</t>
  </si>
  <si>
    <t xml:space="preserve">поточний ремонт системи водопостачання ДНЗ №92 в м. Миколаєві </t>
  </si>
  <si>
    <t>Заклад дошкільної освіти № 92 "Світлячок" м. Миколаєва</t>
  </si>
  <si>
    <t>54036                                  м.Миколаїв,  вул. Гастело, 14-А</t>
  </si>
  <si>
    <t>ФОП Кацала  В.О.</t>
  </si>
  <si>
    <t>поточний ремонт покрівлі</t>
  </si>
  <si>
    <t>Державний навчальний заклад "Миколаївське вище професійне училище технологій та дизайну"</t>
  </si>
  <si>
    <t>54030,м. Миколаїв, вул.Потьомкінська,37</t>
  </si>
  <si>
    <t>ФОП Кравченко О.В</t>
  </si>
  <si>
    <t>поточний ремонт водяного насоса</t>
  </si>
  <si>
    <t>Миколаївський професійний ліцей</t>
  </si>
  <si>
    <t>54025,м. Миколаїв, вул.Рекордна,69А</t>
  </si>
  <si>
    <t>КРВП "Тріботехніка"</t>
  </si>
  <si>
    <t>поточний ремонт з заміни  металопласт вікон та дверей</t>
  </si>
  <si>
    <t>ДНЗ "Вище професійне училище № 7 м. Миколаїв"</t>
  </si>
  <si>
    <t>54050,м. Миколаїв, вул. Гетьмана Сагайдачного,275</t>
  </si>
  <si>
    <t>МКП "Миколаївводоканал"</t>
  </si>
  <si>
    <t xml:space="preserve">поточний ремонт пожежного гідранту </t>
  </si>
  <si>
    <t>поточний ремонт зовнішнього водопроводу</t>
  </si>
  <si>
    <t>Миколаївський професійний ліцей будівництва та сфери послуг</t>
  </si>
  <si>
    <t>54052,м. Миколаїв, вул.Айвазовського,15Б</t>
  </si>
  <si>
    <t>поточний ремонт приміщення з заміною вікон</t>
  </si>
  <si>
    <t>ПП ТК " Южная карта"</t>
  </si>
  <si>
    <t>поточний ремонт та реконструкція водопровідної мережі</t>
  </si>
  <si>
    <t>Миколаївський професійний машинобудівний ліцей</t>
  </si>
  <si>
    <t>54044,м. Миколаїв вул Космонавтів 66</t>
  </si>
  <si>
    <t>поточний ремонт системи опалення та встановлення  лічильника</t>
  </si>
  <si>
    <t>ФОП  Матвіїва Ю.П.</t>
  </si>
  <si>
    <t>Миколаївський економічний ліцей №2 Миколаївської міськой ради мiста Миколаєва</t>
  </si>
  <si>
    <t>54015,м. Миколаїв, вул. Робоча, 2</t>
  </si>
  <si>
    <t>ТОВ "Південь-Будсервіс"</t>
  </si>
  <si>
    <t>поточний ремонт приміщення</t>
  </si>
  <si>
    <t>Морський ліцей імені професора М.Александрова</t>
  </si>
  <si>
    <t>54002  м Миколаїв,вул.Даля,11а</t>
  </si>
  <si>
    <t>ФОП Сєднєва І.В.</t>
  </si>
  <si>
    <t xml:space="preserve">поточний ремонт покрівлі </t>
  </si>
  <si>
    <t>Миколаївська загальноосвітня школа І-ІІІ ступенів №1 Миколаївської міської ради Миколаївської області</t>
  </si>
  <si>
    <t>54052  м. Миколаїв, вул.Айвазовського,8</t>
  </si>
  <si>
    <t>ФОП Пісьмак Н.В.</t>
  </si>
  <si>
    <t>Поточний ремонт системи каналізації та водопостачання (заміна труб та кришок колодязів)</t>
  </si>
  <si>
    <t>Миколаївська спеціалізована школа І - ІІІ ступенів мистецтв і прикладних ремесел експериментальний навчальний заклад всеукраїнського рівня «Академія дитячої творчості» Миколаївської міської ради Миколаївської області</t>
  </si>
  <si>
    <t xml:space="preserve"> 54034 м. Миколаїв, вул.Олійника,36 </t>
  </si>
  <si>
    <t>бетонування площадки, улаштування пандусу, установлення закладних деталей</t>
  </si>
  <si>
    <t xml:space="preserve"> ФОП  Сідляр М.С.</t>
  </si>
  <si>
    <t>поточний ремонт маршового переходу</t>
  </si>
  <si>
    <t>Заклад дошкільної освіти № 117 м. Миколаєва</t>
  </si>
  <si>
    <t>54029                                      м.Миколаїв,                                вул.Шосейна,19</t>
  </si>
  <si>
    <t>ФОП Волошин О.Г.</t>
  </si>
  <si>
    <t xml:space="preserve">поточний ремонт системи водовідведення  ЗДО № 101 в м. Миколаєві </t>
  </si>
  <si>
    <t>Заклад дошкільної освіти № 101"Дружба" м. Миколаєва</t>
  </si>
  <si>
    <t>54052                                           м.Миколаїв,                      пр.Корабелів,22</t>
  </si>
  <si>
    <t>ФОП Залітко В.В.</t>
  </si>
  <si>
    <t>поточний ремонт подвір'я ДНЗ № 83 в м. Миколаєві</t>
  </si>
  <si>
    <t>Дошкільний навчальний заклад № 83 "Казка"  м. Миколаєва</t>
  </si>
  <si>
    <t xml:space="preserve">54034                                        м.Миколаїв,             пр.Богоявленський 8-А </t>
  </si>
  <si>
    <t>поточний ремонт приміщень ДНЗ № 77 в м. Миколаєві</t>
  </si>
  <si>
    <t>Дошкільний навчальний заклад № 77 «Сонечко» м.Миколаєва</t>
  </si>
  <si>
    <t>54017 м.Миколаїв,вул.Громадянська , 48 Б</t>
  </si>
  <si>
    <t>Поточний ремонт системи енергопостачання  ДНЗ № 77  в м. Миколаєві</t>
  </si>
  <si>
    <t xml:space="preserve">поточний ремонт приміщень </t>
  </si>
  <si>
    <t xml:space="preserve"> ПП " Монолітбудсервіс"</t>
  </si>
  <si>
    <t>поточний ремонт приміщень ДНЗ № 148</t>
  </si>
  <si>
    <t>Дошкільний навчальний заклад № 148 м. Миколаєва</t>
  </si>
  <si>
    <t>54055                                     м.Миколаїв,                                вул.Чкалова, 80</t>
  </si>
  <si>
    <t>поточний ремонт двору</t>
  </si>
  <si>
    <t>Дошкільний навчальний заклад № 67</t>
  </si>
  <si>
    <t>54056  м.Миколаїв,пр. Миру 7/1</t>
  </si>
  <si>
    <t>ФОП Шапотюк М.М.</t>
  </si>
  <si>
    <t xml:space="preserve">поточний ремонт  водопостачання </t>
  </si>
  <si>
    <t>Дошкільний навчальний заклад № 143 м. Миколаєва</t>
  </si>
  <si>
    <t>м.Миколаїв, вул. Озерна,5-В</t>
  </si>
  <si>
    <t xml:space="preserve"> ФОП Вербицький Д.С.</t>
  </si>
  <si>
    <t xml:space="preserve">поточний ремонт двору </t>
  </si>
  <si>
    <t>Дошкільний навчальний заклад № 140 м.Миколаєва</t>
  </si>
  <si>
    <t>54050                                     м.Миколаїв,                                вул.Глинки,7а</t>
  </si>
  <si>
    <t>облицювання стін та підлоги керамічними плитками</t>
  </si>
  <si>
    <t>Дошкільний навчальний заклад № 142</t>
  </si>
  <si>
    <t>54034   м.Миколаїв, вул. Г.Свиридова 38-А</t>
  </si>
  <si>
    <t xml:space="preserve">поточний ремонт будівлі  ЗОШ№ 35 в м. Миколаєві </t>
  </si>
  <si>
    <t>Миколаївська
загальноосвітня школа І-ІІІ ступенів № 35
Миколаївської міської ради Миколаївської області</t>
  </si>
  <si>
    <t xml:space="preserve">54029,
м.Миколаїв,   вул. Морехідна,  10-а
</t>
  </si>
  <si>
    <t xml:space="preserve">поточний ремонт приміщень із заміною протипожежних дверей  гімназії №3 в м. Миколаєва </t>
  </si>
  <si>
    <t xml:space="preserve">Гімназія № 3
Миколаївської міської ради Миколаївської області
</t>
  </si>
  <si>
    <t xml:space="preserve">54052
м. Миколаїв
пр. Корабелів,12-Г
</t>
  </si>
  <si>
    <t xml:space="preserve">поточний ремонт приміщень ЗОШ№ 29 в м. Миколаєві </t>
  </si>
  <si>
    <t>Миколаївська
загальноосвітня школа І-ІІІ ступенів № 29
Миколаївської міської ради Миколаївської області</t>
  </si>
  <si>
    <t xml:space="preserve">54050
м. Миколаїв 
вул. гетьмана Сагайдачного, 124
</t>
  </si>
  <si>
    <t>ФОП Печиборцев В.І.</t>
  </si>
  <si>
    <t xml:space="preserve">поточний ремонт фасаду ЗОШ№ 39 в м. Миколаєва </t>
  </si>
  <si>
    <t xml:space="preserve">поточний ремонт приміщень із заміною протипожежних дверей  ЗОШ№ 35 в м. Миколаєва </t>
  </si>
  <si>
    <t>поточний ремонт системи опалення  ЗОШ№60 в м. Миколаєва</t>
  </si>
  <si>
    <t>Миколаївська
загальноосвітня школа І-ІІІ ступенів № 60
Миколаївської міської ради Миколаївської області</t>
  </si>
  <si>
    <t xml:space="preserve">54036
м. Миколаїв
вул. Чорноморська, 1 а
</t>
  </si>
  <si>
    <t>поточний ремонт приміщення  ЗОШ№ 39 в м. Миколаєві</t>
  </si>
  <si>
    <t>поточний ремонт приміщення в ЗДО № 123 в м. Миколаєві</t>
  </si>
  <si>
    <t>Заклад дошкільної освіти № 123 "Синичка" м. Миколаєва</t>
  </si>
  <si>
    <t xml:space="preserve">54002
м. Миколаїв 
вул. Радісна, 4
</t>
  </si>
  <si>
    <t>поточний ремонт системи опалення в ЗДО № 37 в м. Миколаєві</t>
  </si>
  <si>
    <t>Заклад дошкільної освіти № 37 "Казка" м. Миколаєва</t>
  </si>
  <si>
    <t xml:space="preserve">54056
м. Миколаїв 
вул. Театральна, 51 -А
</t>
  </si>
  <si>
    <t xml:space="preserve">поточний ремонт приміщення централізованої бухгалтерії управління освіти </t>
  </si>
  <si>
    <t xml:space="preserve">поточний ремонт приміщення з заміною протипожежних дверей  Миколаївському юридичному ліцею в м. Миколаєві </t>
  </si>
  <si>
    <t xml:space="preserve">Миколаївський Юридичний ліцей
Миколаївської міської ради Миколаївської області
</t>
  </si>
  <si>
    <t>54056   м. Миколаїв                        пр.Миру, 23Г</t>
  </si>
  <si>
    <t xml:space="preserve">поточний ремонт приміщення з облаштуванням протипожежних дверей ЗОШ№ 57 в м. Миколаєва </t>
  </si>
  <si>
    <t>Миколаївська
загальноосвітня школа І-ІІІ ступенів № 57
Миколаївської міської ради Миколаївської області</t>
  </si>
  <si>
    <t>54058   м. Миколаїв                        вул. Лазурна,46</t>
  </si>
  <si>
    <t xml:space="preserve">поточний ремонт приміщення з облаштуванням протипожежних дверей ЗОШ№ 23  в м. Миколаєва </t>
  </si>
  <si>
    <t xml:space="preserve">поточний ремонт приміщення з облаштуванням протипожежних дверей ЗОШ№ 7 в м. Миколаєва </t>
  </si>
  <si>
    <t xml:space="preserve">поточний ремонт приміщення з облаштуванням протипожежних дверей ЗОШ№ 61 в м. Миколаєва </t>
  </si>
  <si>
    <t>Миколаївська
загальноосвітня школа І-ІІІ ступенів № 61
Миколаївської міської ради Миколаївської області</t>
  </si>
  <si>
    <t>поточний ремонт приміщень із заміною дверей  ЗОШ№ 54 в  м. Миколаєва</t>
  </si>
  <si>
    <t>Миколаївська
загальноосвітня школа І-ІІІ ступенів № 54
Миколаївської міської ради Миколаївської області</t>
  </si>
  <si>
    <t>54052
м. Миколаїв
пр. Корабелів, 10</t>
  </si>
  <si>
    <t>поточний ремонт системи опалення  ЗОШ№17 в м. Миколаєва</t>
  </si>
  <si>
    <t>Миколаївська
загальноосвітня школа І-ІІІ ступенів № 17
Миколаївської міської ради Миколаївської області</t>
  </si>
  <si>
    <t>54038
м. Миколаїв, вул. Крилова, 12/6</t>
  </si>
  <si>
    <t xml:space="preserve">поточний ремонт приміщення з заміною протипожежних дверей  ЗОШ№44 в м. Миколаєві </t>
  </si>
  <si>
    <t>54037  м. Миколаїв                        вул.Знаменгська, 2/6</t>
  </si>
  <si>
    <t xml:space="preserve">поточний ремонт приміщення з заміною протипожежних дверей  ЗОШ№ 47 в м. Миколаєві </t>
  </si>
  <si>
    <t>Миколаївська
загальноосвітня школа І-ІІІ ступенів № 47
Миколаївської міської ради Миколаївської області</t>
  </si>
  <si>
    <t xml:space="preserve">54050
м. Миколаїв
вул. Торгова,72
</t>
  </si>
  <si>
    <t>поточний ремонт системи опалення ЗОШ№ 48 в м. Миколаєва</t>
  </si>
  <si>
    <t>Миколаївська
загальноосвітня школа І-ІІІ ступенів № 48
Миколаївської міської ради Миколаївської області</t>
  </si>
  <si>
    <t>54052  м. Миколаїв                        вул.Генерала Попеля, 164</t>
  </si>
  <si>
    <t xml:space="preserve">поточний ремонт приміщення палацу творчості учнів в м. Миколаєва </t>
  </si>
  <si>
    <t>Палац творчості учнів</t>
  </si>
  <si>
    <t xml:space="preserve">54001
м. Миколаїв
вул. Адміральська, 31
</t>
  </si>
  <si>
    <t>поточний ремонт системи опалення в ЗДО № 65 в м. Миколаєві</t>
  </si>
  <si>
    <t>Дошкільний навчальний заклад № 65 «Малятко» м.Миколаєва</t>
  </si>
  <si>
    <t>54018  м. Миколаїв                        вул. Чайковського, 24</t>
  </si>
  <si>
    <t>поточний ремонт системи опалення ЗДО №115 в м. Миколаєві</t>
  </si>
  <si>
    <t>Дошкільний навчальний заклад № 115 «Золоті зернятка» м.Миколаєва</t>
  </si>
  <si>
    <t>54030  м. Миколаїв                        вул. Нікольська, 19</t>
  </si>
  <si>
    <t xml:space="preserve">поточний ремонт приміщення з облаштуванням протипожежних дверей ДНЗ №20 м. Миколаєва </t>
  </si>
  <si>
    <t>поточний ремонт системи опалення  ДНЗ № 110 в м. Миколаєві</t>
  </si>
  <si>
    <t>Заклад дошкільної освіти № 110  "Гніздечко"        м. Миколаєва</t>
  </si>
  <si>
    <t xml:space="preserve">54050
м. Миколаїв 
вул. Рибна, 4
</t>
  </si>
  <si>
    <t xml:space="preserve"> поточний ремонт приміщення ДНЗ № 82 в м. Миколаєві                                                         </t>
  </si>
  <si>
    <t>Заклад дошкільної освіти № 82  "Лебідь" м. Миколаєва</t>
  </si>
  <si>
    <t>54034                                                         м. Миколаїв,  пр.Богоявленський, 20-А</t>
  </si>
  <si>
    <t>поточний ремонт будівлі управління освіти ММР</t>
  </si>
  <si>
    <t>поточний ремонт приміщення з заміною металопластикових вікон управління освіти ММР</t>
  </si>
  <si>
    <t>поточний ремонт приміщення палацу творчості учнів в м. Миколаєва</t>
  </si>
  <si>
    <t>ФОП Малимон М.Ю.</t>
  </si>
  <si>
    <t>поточний ремонт приміщення з заміною металопластикових вікон ЗОШ № 56  в м. Миколаєві</t>
  </si>
  <si>
    <t>Миколаївська загальноосвітня школа І-ІІІ ступенів №56 Миколаївської міської ради Миколаївської області</t>
  </si>
  <si>
    <t>54031
м. Миколаїв,                                                          вул. Космонавтів, 138а</t>
  </si>
  <si>
    <t xml:space="preserve">поточний ремонт приміщень із заміною протипожежних дверей  Миколаївському економічному ліцеї №1 в м. Миколаєва </t>
  </si>
  <si>
    <t xml:space="preserve">Миколаївський Економічний ліцей № 1
Миколаївської міської ради Миколаївської області
</t>
  </si>
  <si>
    <t>54051
м. Миколаїв,                                                          вул. Океанівська, 9</t>
  </si>
  <si>
    <t xml:space="preserve">поточний ремонт приміщення із заміною дверей МЕЛ № 1 в  м. Миколаєва    </t>
  </si>
  <si>
    <t xml:space="preserve"> поточний ремонт ганку з облаштуванням пандусів  ЗОШ№ 53  в м.Миколаєві                                                   </t>
  </si>
  <si>
    <t>Миколаївська загальноосвітня школа І-ІІІ ступенів №53 Миколаївської міської ради Миколаївської області</t>
  </si>
  <si>
    <t>54003
м. Миколаїв,                                                          вул. Потьемкінська, 154</t>
  </si>
  <si>
    <t>ФОП Демяненко М.В.</t>
  </si>
  <si>
    <t xml:space="preserve"> поточний ремонт приміщення ЗОШ№ 57 в м. Миколаєві                               </t>
  </si>
  <si>
    <t>Миколаївська загальноосвітня школа І-ІІІ ступенів №57 Миколаївської міської ради Миколаївської області</t>
  </si>
  <si>
    <t>54058
м. Миколаїв,                                                          вул. Лазурна, 46</t>
  </si>
  <si>
    <t xml:space="preserve">поточний ремонт системи водовідведення  ЗОШ № 32 в м. Миколаїв </t>
  </si>
  <si>
    <t xml:space="preserve">поточний ремонт приміщення  ЗОШ №21 в м. Миколаєва </t>
  </si>
  <si>
    <t>Миколаївська загальноосвітня школа І-ІІІ ступенів №21 Миколаївської міської ради Миколаївської області</t>
  </si>
  <si>
    <t>54023
м. Миколаїв,     М.Корениха                                                     вул. Молдавська, 7</t>
  </si>
  <si>
    <t xml:space="preserve">поточний ремонт системи водопостачання  гімназії№ 3 в м. Миколаїв </t>
  </si>
  <si>
    <t>Гімназія №3 Миколаївської міської ради Миколаївської області</t>
  </si>
  <si>
    <t>54052                                                         м. Миколаїв,  пр. Корабелів, 12-Г</t>
  </si>
  <si>
    <t xml:space="preserve">поточний ремонт будівлі  ЗОШ№26 в м. Миколаєві </t>
  </si>
  <si>
    <t>Миколаївська загальноосвітня школа І-ІІІ ступенів №26 Миколаївської міської ради Миколаївської області</t>
  </si>
  <si>
    <t>54034
м. Миколаїв,                                                          вул. Чайковського, 11а</t>
  </si>
  <si>
    <t xml:space="preserve">поточний ремонт харчоблоку  ЗОШ№ 44 в м. Миколаєві </t>
  </si>
  <si>
    <t>Миколаївська загальноосвітня школа І-ІІІ ступенів №44 Миколаївської міської ради Миколаївської області</t>
  </si>
  <si>
    <t>54037
м. Миколаїв,                                                          вул. Знаменьська, 2/6</t>
  </si>
  <si>
    <t xml:space="preserve">поточний ремонт приміщень у гімназії № 41 у м. Миколаєві </t>
  </si>
  <si>
    <t>54018
м. Миколаїв,                                                          вул. Театральна, 41</t>
  </si>
  <si>
    <t>ТОВ "ТОПБУД ЛТД"</t>
  </si>
  <si>
    <t>поточний ремонт системи опалення ЗОШ№ 24 в м. Миколаєві</t>
  </si>
  <si>
    <t>Миколаївська загальноосвітня школа І-ІІІ ступенів №24 Миколаївської міської ради Миколаївської області</t>
  </si>
  <si>
    <t>54048
м. Миколаїв,                                                          вул. Лісова, 1</t>
  </si>
  <si>
    <t xml:space="preserve">поточний ремонт спортивного майданчику ЗОШ№ 42 в  м. Миколаєві </t>
  </si>
  <si>
    <t>Миколаївська загальноосвітня школа І-ІІІ ступенів №42 Миколаївської міської ради Миколаївської області</t>
  </si>
  <si>
    <t>54031
м. Миколаїв,                                                          вул. Електронна, 73</t>
  </si>
  <si>
    <t>поточний ремонт приміщення з заміною протипожежних дверей ЗОШ№ 21 в м. Миколаєві</t>
  </si>
  <si>
    <t xml:space="preserve">поточний ремонт приміщення з заміною протипожежних дверей  ЗОШ№27 в м. Миколаєві </t>
  </si>
  <si>
    <t>Миколаївська загальноосвітня школа І-ІІІ ступенів №27 Миколаївської міської ради Миколаївської області</t>
  </si>
  <si>
    <t>54037
м. Миколаїв,                                                          вул. Свободна, 38</t>
  </si>
  <si>
    <t>поточний ремонт приміщення з заміною протипожежних дверей МЗОШ №14 в м. Миколаєві</t>
  </si>
  <si>
    <t>Миколаївська загальноосвітня школа І-ІІІ ступенів №14 Миколаївської міської ради Миколаївської області</t>
  </si>
  <si>
    <t>поточний ремонт приміщення з заміною металопластикових вікон  ЗОШ№47 в м. Миколаєві</t>
  </si>
  <si>
    <t>Миколаївська загальноосвітня школа І-ІІІ ступенів №47 Миколаївської міської ради Миколаївської області</t>
  </si>
  <si>
    <t>54050
м. Миколаїв,                                                          вул. Торгова, 72</t>
  </si>
  <si>
    <t xml:space="preserve">поточний ремонт приміщення  ЗОШ№13 в м.Миколаїві </t>
  </si>
  <si>
    <t>Миколаївська загальноосвітня школа І-ІІІ ступенів №13 Миколаївської міської ради Миколаївської області</t>
  </si>
  <si>
    <t>54017                                                         м. Миколаїв,  пр. Центральний, 84</t>
  </si>
  <si>
    <t xml:space="preserve">поточний ремонт приміщень  ДНЗ № 106 в м. Миколаєві                                      </t>
  </si>
  <si>
    <t>Заклад дошкільної освіти № 106  "Вишенька"             м. Миколаєва</t>
  </si>
  <si>
    <t>54050                                                         м. Миколаїв,  пр. Богоявленьський, 297</t>
  </si>
  <si>
    <t>ФОП Сергієнко О.В.</t>
  </si>
  <si>
    <t xml:space="preserve">поточний ремонт приміщень  ЗДО № 85 в м. Миколаєві                                  </t>
  </si>
  <si>
    <t>Заклад дошкільної освіти № 85  "Світлячок" м. Миколаєва</t>
  </si>
  <si>
    <t>54029  м. Миколаїв,                    вул.8- Березня, 22-б</t>
  </si>
  <si>
    <t xml:space="preserve">поточний ремонт приміщень ДНЗ №60 в м. Миколаєві </t>
  </si>
  <si>
    <t>Заклад дошкільної освіти № 60  "Горобинонька"        м. Миколаєва</t>
  </si>
  <si>
    <t xml:space="preserve">54018
м. Миколаїв 
вул.Театральна, 25/1
</t>
  </si>
  <si>
    <t>поточний ремонт двору  ДНЗ №50 в м. Миколаєві</t>
  </si>
  <si>
    <t>Заклад дошкільної освіти № 50  "Дельфін"м. Миколаєва</t>
  </si>
  <si>
    <t xml:space="preserve">54018
м. Миколаїв 
вул. Космонавтів, 56
</t>
  </si>
  <si>
    <t xml:space="preserve">поточний ремонт із заміною вікон  ДНЗ №95 в м. Миколаєві </t>
  </si>
  <si>
    <t>Заклад дошкільної освіти № 95  "Бджілка"м. Миколаєва</t>
  </si>
  <si>
    <t xml:space="preserve">54028
м. Миколаїв 
вул. Космонавтів, 67А
</t>
  </si>
  <si>
    <t xml:space="preserve">поточний ремонт приміщень  ДНЗ №138 в м. Миколаєві </t>
  </si>
  <si>
    <t>ТОВ "СтройМирИндастриз"</t>
  </si>
  <si>
    <t>поточний ремонт приміщення ДНЗ №51 в м. Миколаєві</t>
  </si>
  <si>
    <t>Заклад дошкільної освіти № 51 "Супутник" м. Миколаєва</t>
  </si>
  <si>
    <t xml:space="preserve">54029   м. Миколаїв,  пр. Центральний, 26-В      </t>
  </si>
  <si>
    <t xml:space="preserve">поточний ремонт системи опалення ДНЗ № 133 в м. Миколаєві </t>
  </si>
  <si>
    <t>Заклад дошкільної освіти № 133 "Золота рибка" м. Миколаєва</t>
  </si>
  <si>
    <t>54050                                           м.Миколаїв,                      вул.Металургов, 30</t>
  </si>
  <si>
    <t>ТОВ "Інотех-Сервіс"</t>
  </si>
  <si>
    <t xml:space="preserve">поточний ремонт системи водопостачання  ДНЗ № 92 в м. Миколаєві </t>
  </si>
  <si>
    <t>54036                                          м.Миколаїв, вул. Гастело, 14-А</t>
  </si>
  <si>
    <t>поточний ремонт покрівлі БДЮТ Заводського району</t>
  </si>
  <si>
    <t xml:space="preserve">Будинок творчості дітей та юнацтва Заводського району </t>
  </si>
  <si>
    <t xml:space="preserve">54002
м. Миколаїв
вул. Корабелів, 18
</t>
  </si>
  <si>
    <t>ТОВ "ЕЛЕКТРА"</t>
  </si>
  <si>
    <t>поточний ремонт системи енергопостачання  ВСШ№ 1 в м. Миколаєві</t>
  </si>
  <si>
    <t xml:space="preserve">54050
м. Миколаїв, вул. Гетьмана Сагайдачного, 92
</t>
  </si>
  <si>
    <t xml:space="preserve">поточний ремонт приміщень  ЗОШ № 11 в м. Миколаєві </t>
  </si>
  <si>
    <t>Миколаївська
загальноосвітня школа І-ІІІ ступенів № 11
Миколаївської міської ради Миколаївської області</t>
  </si>
  <si>
    <t>54056                                                     м. Миколаїв,                        вул.Китобоїв,3</t>
  </si>
  <si>
    <t>ТОВ Інтехно</t>
  </si>
  <si>
    <t xml:space="preserve">поточний ремонт ігрової зони і роздягальні  ЗОШ № 19 в м. Миколаєві </t>
  </si>
  <si>
    <t>Миколаївська
загальноосвітня школа І-ІІІ ступенів № 19
Миколаївської міської ради Миколаївської області</t>
  </si>
  <si>
    <t>54018                                        м.Миколаїв,                       вул.Передова, 11-а</t>
  </si>
  <si>
    <t>ТОВ "ІННТЕХНО"</t>
  </si>
  <si>
    <t>встановлення огорожі сміттєвих баків</t>
  </si>
  <si>
    <t>поточний ремонт підлоги приміщень</t>
  </si>
  <si>
    <t>поточний ремонт електричних мереж</t>
  </si>
  <si>
    <t>поточний ремонт системи опалення</t>
  </si>
  <si>
    <t xml:space="preserve">ТОВ "Безпека Сервіс Південь"   </t>
  </si>
  <si>
    <t xml:space="preserve">поточний ремонт з облаштуванням пожежних дверей  ЗДО № 117 в м. Миколаєві </t>
  </si>
  <si>
    <t>ТОВ ТОПБУД ЛТД</t>
  </si>
  <si>
    <t>ПП"Матадор"</t>
  </si>
  <si>
    <t xml:space="preserve">поточний ремонт облаштування вікон та дверей  ЗДО № 117 в м. Миколаєві </t>
  </si>
  <si>
    <t>ФОП Жорова М.А.</t>
  </si>
  <si>
    <t xml:space="preserve">поточний ремонт санвузлів  ЗОШ№ 40 в м. Миколаєві </t>
  </si>
  <si>
    <t xml:space="preserve">поточний ремонт ганку з улаштуванням пандусу у ЗОШ № 50 в м. Миколаєві </t>
  </si>
  <si>
    <t>поточний ремонт приміщення з заміною металопластикових вікон  ЗОШ№50 в м.Миколвєві</t>
  </si>
  <si>
    <t xml:space="preserve">поточний ремонт паркану у ЗОШ № 37 в м. Миколаєві </t>
  </si>
  <si>
    <t>Миколаївська
загальноосвітня школа І-ІІІ ступенів № 37
Миколаївської міської ради Миколаївської області</t>
  </si>
  <si>
    <t>54002   м. Миколаїв                        вул.Даля, 11-А</t>
  </si>
  <si>
    <t xml:space="preserve">поточний ремонт ганку з улаштуванням пандусу у ЗОШ № 34 в м. Миколаєві </t>
  </si>
  <si>
    <t xml:space="preserve">поточний ремонт санвузлів  ЗОШ№ 34 в м. Миколаєві </t>
  </si>
  <si>
    <t>поточний ремонт приміщень із заміною протипожежних дверей  ЗОШ № 43 в м. Миколаєві</t>
  </si>
  <si>
    <t>Миколаївська
загальноосвітня школа І-ІІІ ступенів № 43
Миколаївської міської ради Миколаївської області</t>
  </si>
  <si>
    <t>54050  м. Миколаїв                        прт.Богоявленський, 291</t>
  </si>
  <si>
    <t>поточний ремонт приміщень із заміною протипожежних дверей  ЗОШ № 33 в м. Миколаєві</t>
  </si>
  <si>
    <t>Миколаївська
загальноосвітня школа І-ІІІ ступенів № 33
Миколаївської міської ради Миколаївської області</t>
  </si>
  <si>
    <t>54052  м. Миколаїв                        вул.Океанівська, 12</t>
  </si>
  <si>
    <t>поточний ремонт приміщень із заміною протипожежних дверей  ЗОШ № 10 в м. Миколаєві</t>
  </si>
  <si>
    <t>Миколаївська загальноосвітня школа І-ІІІ ступенів № 10 Миколаївської міської ради Миколаївської області</t>
  </si>
  <si>
    <t>54034
м. Миколаїв, пр.Богоявленський, 20б</t>
  </si>
  <si>
    <t>поточний ремонт приміщень із заміною протипожежних дверей  ЗОШ № 40 в м. Миколаєві</t>
  </si>
  <si>
    <t>Миколаївська
загальноосвітня школа І-ІІІ ступенів № 56
Миколаївської міської ради Миколаївської області</t>
  </si>
  <si>
    <t>54031 м. Миколаїв                        вул. Космонавтов, 138-А</t>
  </si>
  <si>
    <t xml:space="preserve">поточний ремонт приміщення  ЗОШ№ 22 в м. Миколаєві </t>
  </si>
  <si>
    <t>54029  м. Миколаїв                        вул. Робоча, 8</t>
  </si>
  <si>
    <t>ТОВ НДЦ "Будівельних конструкцій"</t>
  </si>
  <si>
    <t xml:space="preserve"> здійснення технічного стану будівельних конструкцій будівлі ЗОШ №   46  в м. Миколаєві </t>
  </si>
  <si>
    <t>Миколаївська
загальноосвітня школа І-ІІІ ступенів № 46
Миколаївської міської ради Миколаївської області</t>
  </si>
  <si>
    <t>54034
м. Миколаїв,
вул. 9 Поздовжня, 10</t>
  </si>
  <si>
    <t xml:space="preserve">поточний ремонт системи водовідведення  ЗОШ№ 45 в м. Миколаєві </t>
  </si>
  <si>
    <t xml:space="preserve">поточний ремонт санвузлів  ЗОШ№ 45 в м. Миколаєві </t>
  </si>
  <si>
    <t>Миколаївська загальноосвітня школа І-ІІІ ступенів № 45 Миколаївської міської ради Миколаївської області</t>
  </si>
  <si>
    <t>54018                                               м.Миколаїв, вул. 4-а Повздовжня, 58</t>
  </si>
  <si>
    <t>ТОВ "Новікон"</t>
  </si>
  <si>
    <t xml:space="preserve">поточний ремонт приміщення з заміною металопластикових вікон  ЗОШ№ 12 в м. Миколаєві </t>
  </si>
  <si>
    <t>54039 м. Миколаїв,                                                          вул. 1-ша Екіпажна, 2</t>
  </si>
  <si>
    <t xml:space="preserve">поточний ремонт приміщень  Юридичного ліцею в м. Миколаєві </t>
  </si>
  <si>
    <t xml:space="preserve">Миколаївський Юридичний ліцей Миколаївської міської ради Миколаївської області
</t>
  </si>
  <si>
    <t>54056 м. Миколаїв                        пр.Миру, 23-Г</t>
  </si>
  <si>
    <t xml:space="preserve">поточний ремонт санвузлу  ЗОШ№ 6 в м. Миколаєві </t>
  </si>
  <si>
    <t>54038  м. Миколаїв                        вул. Курортна, 2А</t>
  </si>
  <si>
    <t xml:space="preserve">поточний ремонт ганку з улаштуванням пандусу  ЗОШ№ 6 в м. Миколаєві </t>
  </si>
  <si>
    <t xml:space="preserve">поточний ремонт системи водовідведення  ЗОШ№ 46 в м. Миколаєві </t>
  </si>
  <si>
    <t>поточний ремонт покрівлі: "Вогнезахисна обробка сумішшю ДСА-2 елементів дерев'яних конструкцій блоку № 1, 2, 5 спортзалу, актового залу, малого залу ЗОШ № 53 в м. Миколаєві "</t>
  </si>
  <si>
    <t xml:space="preserve">поточний ремонт  зовнішніх мереж водопостачання ЗОШ№ 61 в м. Миколаєві </t>
  </si>
  <si>
    <t xml:space="preserve">поточний ремонт ганку з улаштуванням пандусу  ЗОШ№ 43 в м. Миколаєві </t>
  </si>
  <si>
    <t xml:space="preserve">поточний ремонт санвузлу  ЗОШ№ 12 в м. Миколаєві </t>
  </si>
  <si>
    <t xml:space="preserve">поточний ремонт санвузлів  ЗОШ№ 20 в м. Миколаєві </t>
  </si>
  <si>
    <t xml:space="preserve">поточний ремонт приміщень  ЗОШ№ 10 в м. Миколаєві </t>
  </si>
  <si>
    <t>поточний ремонт приміщень із заміною протипожежних дверей  ЗОШ № 30 в м. Миколаєві</t>
  </si>
  <si>
    <t>поточний ремонт приміщень із заміною  дверей  ЗОШ № 54 в м. Миколаєві</t>
  </si>
  <si>
    <t>54050 м. Миколаїв                        вул.Металургів, 97/1</t>
  </si>
  <si>
    <t>ФОП Поліщук</t>
  </si>
  <si>
    <t>поточний ремонт системи опалення  ЗОШ№ 48 в м. Миколаєві</t>
  </si>
  <si>
    <t>Миколаївська загальноосвітня школа І-ІІІ ступенів № 48Миколаївської міської ради Миколаївської області</t>
  </si>
  <si>
    <t>54052 м. Миколаїв                        вул.Генерала Попеля, 164</t>
  </si>
  <si>
    <t>поточний ремонт будівлі з заміною дверей Будинку творчості дітей та юнацтва Інгульського району в м. Миколаєві</t>
  </si>
  <si>
    <t>ФОП Хандобіна Т.В.</t>
  </si>
  <si>
    <t>поточний ремонт автомобіля Део-Ланос управління ММР в м. Миколаїв</t>
  </si>
  <si>
    <t>ТОВ "Кінбурн-Аква"</t>
  </si>
  <si>
    <t xml:space="preserve">поточний ремонт свердловини  ЗОШ № 61 в м. Миколаєві </t>
  </si>
  <si>
    <t>Управління освіти Миколаївської міської ради</t>
  </si>
  <si>
    <t>ФОП Добрінов С.П.</t>
  </si>
  <si>
    <t>поточний ремонт електромережі 4-го поверху адмінбудівлі ВК ММР</t>
  </si>
  <si>
    <t>адмінбудівля</t>
  </si>
  <si>
    <t>вул. Адміральська,20</t>
  </si>
  <si>
    <t>поточний ремонт електрощитів будівлі ВК ММР</t>
  </si>
  <si>
    <t>поточний ремонт освітлення та електрообладнання (каб.163)</t>
  </si>
  <si>
    <t>адмінбудівля (каб.163)</t>
  </si>
  <si>
    <t>ФОП Усата К.В.</t>
  </si>
  <si>
    <t>поточний ремонт вимощення адмінбудівлі</t>
  </si>
  <si>
    <t>адмінбудівля (вимощення)</t>
  </si>
  <si>
    <t>поточний ремонт приміщень адмінбудівлі (заміна вікон)</t>
  </si>
  <si>
    <t>адмінбудівля (вікна)</t>
  </si>
  <si>
    <t>адмінбудівля (Літ-Б)</t>
  </si>
  <si>
    <t>ФОП Драпеза Є.В.</t>
  </si>
  <si>
    <t>поточний ремонт зовнішнього трубопроводу системи опалення адмінбудівлі</t>
  </si>
  <si>
    <t>зовнішні трубопровід системи опалення адмінбудівлі</t>
  </si>
  <si>
    <t>поточний ремонт електромережі</t>
  </si>
  <si>
    <t>адмінбудівля(приміщення їдальні)</t>
  </si>
  <si>
    <t>ТОВ Металбудсервіс</t>
  </si>
  <si>
    <t>адмінбудівля(підвальне приміщення)</t>
  </si>
  <si>
    <t>ТОВ "Південьгідробуд"</t>
  </si>
  <si>
    <t>Виконавчий комітет Миколаївської міської ради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</si>
  <si>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</si>
  <si>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</si>
  <si>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</si>
  <si>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Назва об'єкту</t>
  </si>
  <si>
    <t>Адреса</t>
  </si>
  <si>
    <t>тис.грн.</t>
  </si>
  <si>
    <t xml:space="preserve">Інформація про виконання поточних ремонтів за 2019 рік по 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</si>
</sst>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#,##0.00_ ;\-#,##0.00\ "/>
    <numFmt numFmtId="167" formatCode="0.0_)"/>
    <numFmt numFmtId="168" formatCode="#,##0.00000"/>
    <numFmt numFmtId="169" formatCode="#,##0.000\ _₴"/>
    <numFmt numFmtId="170" formatCode="_-* #,##0.00\ _₴_-;\-* #,##0.00\ _₴_-;_-* &quot;-&quot;??\ _₴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3.2"/>
      <color indexed="12"/>
      <name val="Calibri"/>
      <family val="2"/>
    </font>
    <font>
      <u val="single"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9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40" fillId="0" borderId="0">
      <alignment/>
      <protection/>
    </xf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Fill="1" applyAlignment="1">
      <alignment vertical="top"/>
    </xf>
    <xf numFmtId="0" fontId="58" fillId="0" borderId="0" xfId="0" applyFont="1" applyAlignment="1">
      <alignment vertical="top" wrapText="1"/>
    </xf>
    <xf numFmtId="164" fontId="19" fillId="33" borderId="10" xfId="0" applyNumberFormat="1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64" fontId="20" fillId="33" borderId="10" xfId="0" applyNumberFormat="1" applyFont="1" applyFill="1" applyBorder="1" applyAlignment="1">
      <alignment vertical="top" wrapText="1"/>
    </xf>
    <xf numFmtId="165" fontId="21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166" fontId="22" fillId="34" borderId="10" xfId="0" applyNumberFormat="1" applyFont="1" applyFill="1" applyBorder="1" applyAlignment="1">
      <alignment vertical="top" wrapText="1"/>
    </xf>
    <xf numFmtId="165" fontId="22" fillId="33" borderId="10" xfId="0" applyNumberFormat="1" applyFont="1" applyFill="1" applyBorder="1" applyAlignment="1">
      <alignment vertical="top" wrapText="1"/>
    </xf>
    <xf numFmtId="164" fontId="20" fillId="0" borderId="11" xfId="0" applyNumberFormat="1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164" fontId="20" fillId="0" borderId="12" xfId="0" applyNumberFormat="1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165" fontId="20" fillId="34" borderId="10" xfId="0" applyNumberFormat="1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top" wrapText="1"/>
    </xf>
    <xf numFmtId="166" fontId="22" fillId="33" borderId="10" xfId="0" applyNumberFormat="1" applyFont="1" applyFill="1" applyBorder="1" applyAlignment="1">
      <alignment vertical="top" wrapText="1"/>
    </xf>
    <xf numFmtId="0" fontId="22" fillId="34" borderId="12" xfId="0" applyFont="1" applyFill="1" applyBorder="1" applyAlignment="1">
      <alignment vertical="top" wrapText="1"/>
    </xf>
    <xf numFmtId="0" fontId="59" fillId="34" borderId="12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vertical="top" wrapText="1"/>
    </xf>
    <xf numFmtId="165" fontId="22" fillId="34" borderId="10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165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vertical="top" wrapText="1"/>
    </xf>
    <xf numFmtId="0" fontId="59" fillId="34" borderId="11" xfId="55" applyFont="1" applyFill="1" applyBorder="1" applyAlignment="1">
      <alignment vertical="top" wrapText="1"/>
      <protection/>
    </xf>
    <xf numFmtId="0" fontId="59" fillId="34" borderId="12" xfId="55" applyFont="1" applyFill="1" applyBorder="1" applyAlignment="1">
      <alignment vertical="top" wrapText="1"/>
      <protection/>
    </xf>
    <xf numFmtId="164" fontId="20" fillId="0" borderId="10" xfId="0" applyNumberFormat="1" applyFont="1" applyFill="1" applyBorder="1" applyAlignment="1">
      <alignment vertical="top" wrapText="1"/>
    </xf>
    <xf numFmtId="0" fontId="59" fillId="34" borderId="10" xfId="55" applyFont="1" applyFill="1" applyBorder="1" applyAlignment="1">
      <alignment vertical="top" wrapText="1"/>
      <protection/>
    </xf>
    <xf numFmtId="0" fontId="59" fillId="34" borderId="10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165" fontId="22" fillId="33" borderId="11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164" fontId="20" fillId="34" borderId="11" xfId="0" applyNumberFormat="1" applyFont="1" applyFill="1" applyBorder="1" applyAlignment="1">
      <alignment vertical="top" wrapText="1"/>
    </xf>
    <xf numFmtId="164" fontId="20" fillId="34" borderId="12" xfId="0" applyNumberFormat="1" applyFont="1" applyFill="1" applyBorder="1" applyAlignment="1">
      <alignment vertical="top" wrapText="1"/>
    </xf>
    <xf numFmtId="165" fontId="20" fillId="0" borderId="10" xfId="0" applyNumberFormat="1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165" fontId="22" fillId="34" borderId="11" xfId="0" applyNumberFormat="1" applyFont="1" applyFill="1" applyBorder="1" applyAlignment="1">
      <alignment vertical="top" wrapText="1"/>
    </xf>
    <xf numFmtId="0" fontId="20" fillId="34" borderId="11" xfId="0" applyFont="1" applyFill="1" applyBorder="1" applyAlignment="1">
      <alignment vertical="top" wrapText="1"/>
    </xf>
    <xf numFmtId="0" fontId="20" fillId="34" borderId="12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164" fontId="60" fillId="0" borderId="10" xfId="0" applyNumberFormat="1" applyFont="1" applyFill="1" applyBorder="1" applyAlignment="1">
      <alignment vertical="top" wrapText="1"/>
    </xf>
    <xf numFmtId="165" fontId="60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164" fontId="61" fillId="0" borderId="0" xfId="0" applyNumberFormat="1" applyFont="1" applyBorder="1" applyAlignment="1">
      <alignment vertical="top"/>
    </xf>
    <xf numFmtId="164" fontId="59" fillId="34" borderId="10" xfId="0" applyNumberFormat="1" applyFont="1" applyFill="1" applyBorder="1" applyAlignment="1">
      <alignment vertical="top" wrapText="1"/>
    </xf>
    <xf numFmtId="165" fontId="59" fillId="34" borderId="11" xfId="0" applyNumberFormat="1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top" wrapText="1"/>
    </xf>
    <xf numFmtId="164" fontId="59" fillId="0" borderId="10" xfId="0" applyNumberFormat="1" applyFont="1" applyFill="1" applyBorder="1" applyAlignment="1">
      <alignment vertical="top" wrapText="1"/>
    </xf>
    <xf numFmtId="165" fontId="59" fillId="0" borderId="11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165" fontId="22" fillId="0" borderId="14" xfId="0" applyNumberFormat="1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167" fontId="22" fillId="0" borderId="10" xfId="0" applyNumberFormat="1" applyFon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164" fontId="22" fillId="0" borderId="14" xfId="0" applyNumberFormat="1" applyFont="1" applyFill="1" applyBorder="1" applyAlignment="1">
      <alignment vertical="top" wrapText="1"/>
    </xf>
    <xf numFmtId="0" fontId="62" fillId="0" borderId="0" xfId="0" applyFont="1" applyFill="1" applyAlignment="1">
      <alignment vertical="top"/>
    </xf>
    <xf numFmtId="0" fontId="60" fillId="0" borderId="15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vertical="top" wrapText="1"/>
    </xf>
    <xf numFmtId="0" fontId="60" fillId="0" borderId="16" xfId="0" applyFont="1" applyFill="1" applyBorder="1" applyAlignment="1">
      <alignment vertical="top" wrapText="1"/>
    </xf>
    <xf numFmtId="164" fontId="60" fillId="34" borderId="10" xfId="0" applyNumberFormat="1" applyFont="1" applyFill="1" applyBorder="1" applyAlignment="1">
      <alignment vertical="top" wrapText="1"/>
    </xf>
    <xf numFmtId="165" fontId="60" fillId="34" borderId="10" xfId="0" applyNumberFormat="1" applyFont="1" applyFill="1" applyBorder="1" applyAlignment="1">
      <alignment vertical="top" wrapText="1"/>
    </xf>
    <xf numFmtId="0" fontId="60" fillId="34" borderId="10" xfId="0" applyFont="1" applyFill="1" applyBorder="1" applyAlignment="1">
      <alignment vertical="top" wrapText="1"/>
    </xf>
    <xf numFmtId="165" fontId="59" fillId="34" borderId="10" xfId="0" applyNumberFormat="1" applyFont="1" applyFill="1" applyBorder="1" applyAlignment="1">
      <alignment vertical="top" wrapText="1"/>
    </xf>
    <xf numFmtId="165" fontId="59" fillId="0" borderId="10" xfId="0" applyNumberFormat="1" applyFont="1" applyFill="1" applyBorder="1" applyAlignment="1">
      <alignment vertical="top" wrapText="1"/>
    </xf>
    <xf numFmtId="168" fontId="59" fillId="34" borderId="10" xfId="0" applyNumberFormat="1" applyFont="1" applyFill="1" applyBorder="1" applyAlignment="1">
      <alignment vertical="top" wrapText="1"/>
    </xf>
    <xf numFmtId="0" fontId="60" fillId="0" borderId="17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60" fillId="0" borderId="19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164" fontId="60" fillId="0" borderId="20" xfId="0" applyNumberFormat="1" applyFont="1" applyFill="1" applyBorder="1" applyAlignment="1">
      <alignment vertical="top" wrapText="1"/>
    </xf>
    <xf numFmtId="0" fontId="60" fillId="0" borderId="20" xfId="0" applyFont="1" applyFill="1" applyBorder="1" applyAlignment="1">
      <alignment vertical="top" wrapText="1"/>
    </xf>
    <xf numFmtId="164" fontId="60" fillId="0" borderId="21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59" fillId="0" borderId="15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22" fillId="34" borderId="12" xfId="0" applyFont="1" applyFill="1" applyBorder="1" applyAlignment="1">
      <alignment vertical="top" wrapText="1"/>
    </xf>
    <xf numFmtId="0" fontId="59" fillId="34" borderId="15" xfId="0" applyFont="1" applyFill="1" applyBorder="1" applyAlignment="1">
      <alignment vertical="top" wrapText="1"/>
    </xf>
    <xf numFmtId="0" fontId="59" fillId="34" borderId="16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 wrapText="1"/>
    </xf>
    <xf numFmtId="0" fontId="59" fillId="0" borderId="22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165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64" fillId="0" borderId="15" xfId="0" applyFont="1" applyFill="1" applyBorder="1" applyAlignment="1">
      <alignment vertical="top" wrapText="1"/>
    </xf>
    <xf numFmtId="0" fontId="64" fillId="0" borderId="13" xfId="0" applyFont="1" applyFill="1" applyBorder="1" applyAlignment="1">
      <alignment vertical="top" wrapText="1"/>
    </xf>
    <xf numFmtId="0" fontId="64" fillId="0" borderId="15" xfId="0" applyFont="1" applyFill="1" applyBorder="1" applyAlignment="1">
      <alignment vertical="top" wrapText="1"/>
    </xf>
    <xf numFmtId="0" fontId="64" fillId="0" borderId="13" xfId="0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164" fontId="64" fillId="0" borderId="10" xfId="0" applyNumberFormat="1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164" fontId="65" fillId="0" borderId="10" xfId="0" applyNumberFormat="1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164" fontId="60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164" fontId="59" fillId="0" borderId="10" xfId="0" applyNumberFormat="1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164" fontId="25" fillId="0" borderId="10" xfId="0" applyNumberFormat="1" applyFont="1" applyFill="1" applyBorder="1" applyAlignment="1">
      <alignment vertical="top" wrapText="1"/>
    </xf>
    <xf numFmtId="169" fontId="60" fillId="0" borderId="16" xfId="0" applyNumberFormat="1" applyFont="1" applyFill="1" applyBorder="1" applyAlignment="1">
      <alignment vertical="top" wrapText="1"/>
    </xf>
    <xf numFmtId="0" fontId="59" fillId="0" borderId="0" xfId="0" applyFont="1" applyAlignment="1">
      <alignment vertical="top"/>
    </xf>
    <xf numFmtId="0" fontId="66" fillId="0" borderId="0" xfId="0" applyFont="1" applyFill="1" applyAlignment="1">
      <alignment vertical="top"/>
    </xf>
    <xf numFmtId="0" fontId="59" fillId="0" borderId="0" xfId="0" applyFont="1" applyAlignment="1">
      <alignment vertical="top" wrapText="1"/>
    </xf>
    <xf numFmtId="165" fontId="59" fillId="0" borderId="0" xfId="0" applyNumberFormat="1" applyFont="1" applyAlignment="1">
      <alignment vertical="top" wrapText="1"/>
    </xf>
    <xf numFmtId="165" fontId="67" fillId="0" borderId="16" xfId="0" applyNumberFormat="1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34" borderId="10" xfId="0" applyFont="1" applyFill="1" applyBorder="1" applyAlignment="1">
      <alignment vertical="top" wrapText="1"/>
    </xf>
    <xf numFmtId="165" fontId="59" fillId="0" borderId="16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165" fontId="21" fillId="34" borderId="10" xfId="0" applyNumberFormat="1" applyFont="1" applyFill="1" applyBorder="1" applyAlignment="1">
      <alignment vertical="top" wrapText="1"/>
    </xf>
    <xf numFmtId="0" fontId="21" fillId="34" borderId="10" xfId="0" applyFont="1" applyFill="1" applyBorder="1" applyAlignment="1">
      <alignment vertical="top" wrapText="1"/>
    </xf>
    <xf numFmtId="0" fontId="31" fillId="34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vertical="top" wrapText="1" shrinkToFit="1"/>
    </xf>
    <xf numFmtId="165" fontId="22" fillId="34" borderId="10" xfId="66" applyNumberFormat="1" applyFont="1" applyFill="1" applyBorder="1" applyAlignment="1">
      <alignment vertical="top" wrapText="1"/>
    </xf>
    <xf numFmtId="0" fontId="20" fillId="34" borderId="10" xfId="56" applyFont="1" applyFill="1" applyBorder="1" applyAlignment="1">
      <alignment vertical="top" wrapText="1"/>
      <protection/>
    </xf>
    <xf numFmtId="0" fontId="66" fillId="0" borderId="24" xfId="0" applyFont="1" applyFill="1" applyBorder="1" applyAlignment="1">
      <alignment vertical="top"/>
    </xf>
    <xf numFmtId="165" fontId="20" fillId="34" borderId="10" xfId="56" applyNumberFormat="1" applyFont="1" applyFill="1" applyBorder="1" applyAlignment="1">
      <alignment vertical="top" wrapText="1"/>
      <protection/>
    </xf>
    <xf numFmtId="0" fontId="20" fillId="34" borderId="10" xfId="56" applyFont="1" applyFill="1" applyBorder="1" applyAlignment="1">
      <alignment vertical="top" wrapText="1" shrinkToFit="1"/>
      <protection/>
    </xf>
    <xf numFmtId="0" fontId="67" fillId="0" borderId="10" xfId="0" applyFont="1" applyFill="1" applyBorder="1" applyAlignment="1">
      <alignment horizontal="left" vertical="top" wrapText="1"/>
    </xf>
    <xf numFmtId="165" fontId="67" fillId="34" borderId="16" xfId="0" applyNumberFormat="1" applyFont="1" applyFill="1" applyBorder="1" applyAlignment="1">
      <alignment vertical="top" wrapText="1"/>
    </xf>
    <xf numFmtId="164" fontId="22" fillId="34" borderId="10" xfId="58" applyNumberFormat="1" applyFont="1" applyFill="1" applyBorder="1" applyAlignment="1">
      <alignment vertical="top" wrapText="1"/>
      <protection/>
    </xf>
    <xf numFmtId="165" fontId="22" fillId="34" borderId="16" xfId="58" applyNumberFormat="1" applyFont="1" applyFill="1" applyBorder="1" applyAlignment="1">
      <alignment vertical="top" wrapText="1"/>
      <protection/>
    </xf>
    <xf numFmtId="0" fontId="22" fillId="34" borderId="10" xfId="58" applyNumberFormat="1" applyFont="1" applyFill="1" applyBorder="1" applyAlignment="1">
      <alignment vertical="top" wrapText="1"/>
      <protection/>
    </xf>
    <xf numFmtId="165" fontId="59" fillId="34" borderId="16" xfId="0" applyNumberFormat="1" applyFont="1" applyFill="1" applyBorder="1" applyAlignment="1">
      <alignment vertical="top" wrapText="1"/>
    </xf>
    <xf numFmtId="49" fontId="22" fillId="34" borderId="10" xfId="57" applyNumberFormat="1" applyFont="1" applyFill="1" applyBorder="1" applyAlignment="1">
      <alignment vertical="top" wrapText="1"/>
      <protection/>
    </xf>
    <xf numFmtId="0" fontId="67" fillId="34" borderId="10" xfId="0" applyFont="1" applyFill="1" applyBorder="1" applyAlignment="1">
      <alignment horizontal="left" vertical="top" wrapText="1"/>
    </xf>
    <xf numFmtId="0" fontId="67" fillId="0" borderId="0" xfId="0" applyFont="1" applyAlignment="1">
      <alignment vertical="top"/>
    </xf>
    <xf numFmtId="0" fontId="67" fillId="0" borderId="0" xfId="0" applyFont="1" applyBorder="1" applyAlignment="1">
      <alignment vertical="top"/>
    </xf>
    <xf numFmtId="0" fontId="68" fillId="0" borderId="24" xfId="0" applyFont="1" applyFill="1" applyBorder="1" applyAlignment="1">
      <alignment vertical="top"/>
    </xf>
    <xf numFmtId="0" fontId="67" fillId="0" borderId="10" xfId="0" applyFont="1" applyFill="1" applyBorder="1" applyAlignment="1">
      <alignment vertical="top" wrapText="1"/>
    </xf>
    <xf numFmtId="165" fontId="67" fillId="0" borderId="10" xfId="0" applyNumberFormat="1" applyFont="1" applyFill="1" applyBorder="1" applyAlignment="1">
      <alignment vertical="top" wrapText="1"/>
    </xf>
    <xf numFmtId="0" fontId="67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/>
    </xf>
    <xf numFmtId="0" fontId="59" fillId="0" borderId="0" xfId="0" applyFont="1" applyFill="1" applyBorder="1" applyAlignment="1">
      <alignment vertical="top"/>
    </xf>
    <xf numFmtId="0" fontId="59" fillId="0" borderId="0" xfId="0" applyFont="1" applyBorder="1" applyAlignment="1">
      <alignment vertical="top"/>
    </xf>
    <xf numFmtId="0" fontId="66" fillId="0" borderId="24" xfId="0" applyFont="1" applyFill="1" applyBorder="1" applyAlignment="1">
      <alignment vertical="top" wrapText="1"/>
    </xf>
    <xf numFmtId="165" fontId="22" fillId="0" borderId="10" xfId="66" applyNumberFormat="1" applyFont="1" applyFill="1" applyBorder="1" applyAlignment="1">
      <alignment vertical="top" wrapText="1"/>
    </xf>
    <xf numFmtId="165" fontId="20" fillId="0" borderId="10" xfId="66" applyNumberFormat="1" applyFont="1" applyFill="1" applyBorder="1" applyAlignment="1">
      <alignment vertical="top" wrapText="1"/>
    </xf>
    <xf numFmtId="49" fontId="66" fillId="0" borderId="2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169" fontId="67" fillId="0" borderId="15" xfId="0" applyNumberFormat="1" applyFont="1" applyFill="1" applyBorder="1" applyAlignment="1">
      <alignment vertical="top" wrapText="1"/>
    </xf>
    <xf numFmtId="0" fontId="67" fillId="0" borderId="16" xfId="0" applyFont="1" applyFill="1" applyBorder="1" applyAlignment="1">
      <alignment vertical="top" wrapText="1"/>
    </xf>
    <xf numFmtId="0" fontId="58" fillId="0" borderId="24" xfId="0" applyFont="1" applyFill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Fill="1" applyAlignment="1">
      <alignment vertical="top"/>
    </xf>
    <xf numFmtId="165" fontId="24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0" fontId="34" fillId="0" borderId="0" xfId="0" applyFont="1" applyFill="1" applyAlignment="1">
      <alignment vertical="top"/>
    </xf>
    <xf numFmtId="165" fontId="22" fillId="0" borderId="10" xfId="0" applyNumberFormat="1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vertical="top"/>
    </xf>
    <xf numFmtId="164" fontId="20" fillId="0" borderId="25" xfId="0" applyNumberFormat="1" applyFont="1" applyFill="1" applyBorder="1" applyAlignment="1">
      <alignment vertical="top" wrapText="1"/>
    </xf>
    <xf numFmtId="164" fontId="2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69" fillId="0" borderId="0" xfId="0" applyFont="1" applyAlignment="1">
      <alignment vertical="top"/>
    </xf>
    <xf numFmtId="0" fontId="69" fillId="0" borderId="0" xfId="0" applyFont="1" applyFill="1" applyAlignment="1">
      <alignment vertical="top"/>
    </xf>
    <xf numFmtId="164" fontId="67" fillId="0" borderId="11" xfId="0" applyNumberFormat="1" applyFont="1" applyFill="1" applyBorder="1" applyAlignment="1">
      <alignment vertical="top" wrapText="1"/>
    </xf>
    <xf numFmtId="165" fontId="67" fillId="0" borderId="11" xfId="0" applyNumberFormat="1" applyFont="1" applyFill="1" applyBorder="1" applyAlignment="1">
      <alignment vertical="top" wrapText="1"/>
    </xf>
    <xf numFmtId="164" fontId="67" fillId="0" borderId="22" xfId="0" applyNumberFormat="1" applyFont="1" applyFill="1" applyBorder="1" applyAlignment="1">
      <alignment vertical="top" wrapText="1"/>
    </xf>
    <xf numFmtId="0" fontId="67" fillId="0" borderId="28" xfId="0" applyFont="1" applyFill="1" applyBorder="1" applyAlignment="1">
      <alignment vertical="top" wrapText="1"/>
    </xf>
    <xf numFmtId="0" fontId="67" fillId="0" borderId="14" xfId="0" applyFont="1" applyFill="1" applyBorder="1" applyAlignment="1">
      <alignment vertical="top" wrapText="1"/>
    </xf>
    <xf numFmtId="164" fontId="59" fillId="0" borderId="11" xfId="0" applyNumberFormat="1" applyFont="1" applyFill="1" applyBorder="1" applyAlignment="1">
      <alignment vertical="top" wrapText="1"/>
    </xf>
    <xf numFmtId="164" fontId="59" fillId="0" borderId="22" xfId="0" applyNumberFormat="1" applyFont="1" applyFill="1" applyBorder="1" applyAlignment="1">
      <alignment vertical="top" wrapText="1"/>
    </xf>
    <xf numFmtId="0" fontId="59" fillId="0" borderId="28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0" fontId="37" fillId="0" borderId="10" xfId="42" applyFont="1" applyBorder="1" applyAlignment="1" applyProtection="1">
      <alignment vertical="top" wrapText="1"/>
      <protection/>
    </xf>
    <xf numFmtId="49" fontId="59" fillId="0" borderId="10" xfId="0" applyNumberFormat="1" applyFont="1" applyFill="1" applyBorder="1" applyAlignment="1">
      <alignment vertical="top" wrapText="1"/>
    </xf>
    <xf numFmtId="0" fontId="22" fillId="0" borderId="10" xfId="42" applyFont="1" applyBorder="1" applyAlignment="1" applyProtection="1">
      <alignment vertical="top" wrapText="1"/>
      <protection/>
    </xf>
    <xf numFmtId="0" fontId="60" fillId="0" borderId="29" xfId="0" applyFont="1" applyFill="1" applyBorder="1" applyAlignment="1">
      <alignment vertical="top" wrapText="1"/>
    </xf>
    <xf numFmtId="0" fontId="60" fillId="0" borderId="30" xfId="0" applyFont="1" applyFill="1" applyBorder="1" applyAlignment="1">
      <alignment vertical="top" wrapText="1"/>
    </xf>
    <xf numFmtId="0" fontId="60" fillId="0" borderId="3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24" fillId="0" borderId="10" xfId="0" applyFont="1" applyFill="1" applyBorder="1" applyAlignment="1">
      <alignment vertical="top" wrapText="1"/>
    </xf>
    <xf numFmtId="165" fontId="24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 wrapText="1"/>
    </xf>
    <xf numFmtId="165" fontId="22" fillId="0" borderId="13" xfId="0" applyNumberFormat="1" applyFont="1" applyFill="1" applyBorder="1" applyAlignment="1">
      <alignment vertical="top" wrapText="1"/>
    </xf>
    <xf numFmtId="2" fontId="22" fillId="0" borderId="12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49" fontId="22" fillId="0" borderId="16" xfId="0" applyNumberFormat="1" applyFont="1" applyFill="1" applyBorder="1" applyAlignment="1">
      <alignment vertical="top" wrapText="1"/>
    </xf>
    <xf numFmtId="164" fontId="22" fillId="0" borderId="15" xfId="0" applyNumberFormat="1" applyFont="1" applyFill="1" applyBorder="1" applyAlignment="1">
      <alignment vertical="top" wrapText="1"/>
    </xf>
    <xf numFmtId="0" fontId="18" fillId="0" borderId="0" xfId="0" applyFont="1" applyAlignment="1">
      <alignment vertical="top"/>
    </xf>
    <xf numFmtId="0" fontId="60" fillId="0" borderId="1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right" vertical="top" wrapText="1"/>
    </xf>
    <xf numFmtId="0" fontId="60" fillId="0" borderId="0" xfId="0" applyFont="1" applyFill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1" xfId="56"/>
    <cellStyle name="Обычный_1 кв.2019 1216020" xfId="57"/>
    <cellStyle name="Обычный_1 півр. 201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57"/>
  <sheetViews>
    <sheetView tabSelected="1" view="pageBreakPreview" zoomScale="110" zoomScaleNormal="12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A2" sqref="A2:E2"/>
    </sheetView>
  </sheetViews>
  <sheetFormatPr defaultColWidth="8.8515625" defaultRowHeight="15"/>
  <cols>
    <col min="1" max="1" width="26.7109375" style="3" customWidth="1"/>
    <col min="2" max="2" width="41.57421875" style="3" customWidth="1"/>
    <col min="3" max="3" width="31.8515625" style="3" customWidth="1"/>
    <col min="4" max="4" width="20.7109375" style="3" customWidth="1"/>
    <col min="5" max="5" width="29.421875" style="3" customWidth="1"/>
    <col min="6" max="6" width="8.8515625" style="2" customWidth="1"/>
    <col min="7" max="7" width="14.00390625" style="1" customWidth="1"/>
    <col min="8" max="16384" width="8.8515625" style="1" customWidth="1"/>
  </cols>
  <sheetData>
    <row r="2" spans="1:5" ht="15">
      <c r="A2" s="211" t="s">
        <v>1997</v>
      </c>
      <c r="B2" s="211"/>
      <c r="C2" s="211"/>
      <c r="D2" s="211"/>
      <c r="E2" s="211"/>
    </row>
    <row r="3" spans="1:5" ht="15">
      <c r="A3" s="210" t="s">
        <v>1996</v>
      </c>
      <c r="B3" s="210"/>
      <c r="C3" s="210"/>
      <c r="D3" s="210"/>
      <c r="E3" s="210"/>
    </row>
    <row r="4" spans="1:5" s="209" customFormat="1" ht="15">
      <c r="A4" s="208" t="s">
        <v>1995</v>
      </c>
      <c r="B4" s="208" t="s">
        <v>1994</v>
      </c>
      <c r="C4" s="208" t="s">
        <v>1993</v>
      </c>
      <c r="D4" s="208" t="s">
        <v>1992</v>
      </c>
      <c r="E4" s="208" t="s">
        <v>1991</v>
      </c>
    </row>
    <row r="5" spans="1:5" ht="15">
      <c r="A5" s="208"/>
      <c r="B5" s="208"/>
      <c r="C5" s="208"/>
      <c r="D5" s="208"/>
      <c r="E5" s="208"/>
    </row>
    <row r="6" spans="1:5" s="2" customFormat="1" ht="15">
      <c r="A6" s="99" t="s">
        <v>1990</v>
      </c>
      <c r="B6" s="99"/>
      <c r="C6" s="99"/>
      <c r="D6" s="99"/>
      <c r="E6" s="99"/>
    </row>
    <row r="7" spans="1:6" s="207" customFormat="1" ht="15">
      <c r="A7" s="29" t="s">
        <v>1972</v>
      </c>
      <c r="B7" s="29" t="s">
        <v>1986</v>
      </c>
      <c r="C7" s="33" t="s">
        <v>1474</v>
      </c>
      <c r="D7" s="28">
        <v>151.28005</v>
      </c>
      <c r="E7" s="33" t="s">
        <v>1989</v>
      </c>
      <c r="F7" s="108"/>
    </row>
    <row r="8" spans="1:6" s="207" customFormat="1" ht="15">
      <c r="A8" s="29" t="s">
        <v>1972</v>
      </c>
      <c r="B8" s="29" t="s">
        <v>1988</v>
      </c>
      <c r="C8" s="33" t="s">
        <v>1474</v>
      </c>
      <c r="D8" s="28">
        <v>108.176</v>
      </c>
      <c r="E8" s="33" t="s">
        <v>1987</v>
      </c>
      <c r="F8" s="108"/>
    </row>
    <row r="9" spans="1:6" s="207" customFormat="1" ht="15">
      <c r="A9" s="29" t="s">
        <v>1972</v>
      </c>
      <c r="B9" s="29" t="s">
        <v>1986</v>
      </c>
      <c r="C9" s="33" t="s">
        <v>1985</v>
      </c>
      <c r="D9" s="28">
        <v>30.628</v>
      </c>
      <c r="E9" s="33" t="s">
        <v>1969</v>
      </c>
      <c r="F9" s="108"/>
    </row>
    <row r="10" spans="1:6" s="207" customFormat="1" ht="38.25">
      <c r="A10" s="29" t="s">
        <v>1972</v>
      </c>
      <c r="B10" s="29" t="s">
        <v>1984</v>
      </c>
      <c r="C10" s="33" t="s">
        <v>1983</v>
      </c>
      <c r="D10" s="28">
        <v>88.685</v>
      </c>
      <c r="E10" s="33" t="s">
        <v>1982</v>
      </c>
      <c r="F10" s="108"/>
    </row>
    <row r="11" spans="1:6" s="207" customFormat="1" ht="15">
      <c r="A11" s="29" t="s">
        <v>1972</v>
      </c>
      <c r="B11" s="29" t="s">
        <v>1981</v>
      </c>
      <c r="C11" s="33" t="s">
        <v>1474</v>
      </c>
      <c r="D11" s="28">
        <f>71.76439+118.86983</f>
        <v>190.63422</v>
      </c>
      <c r="E11" s="33" t="s">
        <v>1976</v>
      </c>
      <c r="F11" s="108"/>
    </row>
    <row r="12" spans="1:6" s="207" customFormat="1" ht="15">
      <c r="A12" s="29" t="s">
        <v>1972</v>
      </c>
      <c r="B12" s="29" t="s">
        <v>1975</v>
      </c>
      <c r="C12" s="33" t="s">
        <v>1474</v>
      </c>
      <c r="D12" s="28">
        <v>65.923</v>
      </c>
      <c r="E12" s="33" t="s">
        <v>1976</v>
      </c>
      <c r="F12" s="108"/>
    </row>
    <row r="13" spans="1:6" s="207" customFormat="1" ht="25.5">
      <c r="A13" s="29" t="s">
        <v>1972</v>
      </c>
      <c r="B13" s="29" t="s">
        <v>1980</v>
      </c>
      <c r="C13" s="33" t="s">
        <v>1979</v>
      </c>
      <c r="D13" s="28">
        <v>41.399</v>
      </c>
      <c r="E13" s="33" t="s">
        <v>1976</v>
      </c>
      <c r="F13" s="108"/>
    </row>
    <row r="14" spans="1:6" s="207" customFormat="1" ht="25.5">
      <c r="A14" s="29" t="s">
        <v>1972</v>
      </c>
      <c r="B14" s="29" t="s">
        <v>1978</v>
      </c>
      <c r="C14" s="33" t="s">
        <v>1977</v>
      </c>
      <c r="D14" s="28">
        <v>198.275</v>
      </c>
      <c r="E14" s="33" t="s">
        <v>1976</v>
      </c>
      <c r="F14" s="108"/>
    </row>
    <row r="15" spans="1:6" s="207" customFormat="1" ht="25.5">
      <c r="A15" s="29" t="s">
        <v>1972</v>
      </c>
      <c r="B15" s="29" t="s">
        <v>1975</v>
      </c>
      <c r="C15" s="33" t="s">
        <v>1974</v>
      </c>
      <c r="D15" s="28">
        <v>52.807</v>
      </c>
      <c r="E15" s="33" t="s">
        <v>1969</v>
      </c>
      <c r="F15" s="108"/>
    </row>
    <row r="16" spans="1:6" s="207" customFormat="1" ht="25.5">
      <c r="A16" s="29" t="s">
        <v>1972</v>
      </c>
      <c r="B16" s="29" t="s">
        <v>1971</v>
      </c>
      <c r="C16" s="33" t="s">
        <v>1973</v>
      </c>
      <c r="D16" s="28">
        <v>152.851</v>
      </c>
      <c r="E16" s="33" t="s">
        <v>1969</v>
      </c>
      <c r="F16" s="108"/>
    </row>
    <row r="17" spans="1:6" s="207" customFormat="1" ht="25.5">
      <c r="A17" s="29" t="s">
        <v>1972</v>
      </c>
      <c r="B17" s="29" t="s">
        <v>1971</v>
      </c>
      <c r="C17" s="33" t="s">
        <v>1970</v>
      </c>
      <c r="D17" s="28">
        <v>21.009</v>
      </c>
      <c r="E17" s="33" t="s">
        <v>1969</v>
      </c>
      <c r="F17" s="108"/>
    </row>
    <row r="18" spans="1:6" s="207" customFormat="1" ht="15">
      <c r="A18" s="29"/>
      <c r="B18" s="29"/>
      <c r="C18" s="33"/>
      <c r="D18" s="28"/>
      <c r="E18" s="33"/>
      <c r="F18" s="108"/>
    </row>
    <row r="19" spans="1:6" s="207" customFormat="1" ht="15">
      <c r="A19" s="100"/>
      <c r="B19" s="100" t="s">
        <v>1</v>
      </c>
      <c r="C19" s="117" t="s">
        <v>0</v>
      </c>
      <c r="D19" s="101">
        <f>SUM(D7:D18)</f>
        <v>1101.66727</v>
      </c>
      <c r="E19" s="117" t="s">
        <v>0</v>
      </c>
      <c r="F19" s="108"/>
    </row>
    <row r="20" spans="1:5" s="2" customFormat="1" ht="15">
      <c r="A20" s="176" t="s">
        <v>1968</v>
      </c>
      <c r="B20" s="176"/>
      <c r="C20" s="176"/>
      <c r="D20" s="176"/>
      <c r="E20" s="176"/>
    </row>
    <row r="21" spans="1:5" s="196" customFormat="1" ht="42" customHeight="1">
      <c r="A21" s="83" t="s">
        <v>1654</v>
      </c>
      <c r="B21" s="83" t="s">
        <v>1653</v>
      </c>
      <c r="C21" s="205" t="s">
        <v>1967</v>
      </c>
      <c r="D21" s="30">
        <f>27.018</f>
        <v>27.018</v>
      </c>
      <c r="E21" s="204" t="s">
        <v>1966</v>
      </c>
    </row>
    <row r="22" spans="1:5" s="196" customFormat="1" ht="38.25">
      <c r="A22" s="61" t="s">
        <v>1517</v>
      </c>
      <c r="B22" s="83" t="s">
        <v>1516</v>
      </c>
      <c r="C22" s="205" t="s">
        <v>1965</v>
      </c>
      <c r="D22" s="30">
        <f>6.9324+5.985</f>
        <v>12.9174</v>
      </c>
      <c r="E22" s="204" t="s">
        <v>1964</v>
      </c>
    </row>
    <row r="23" spans="1:5" s="196" customFormat="1" ht="51">
      <c r="A23" s="83" t="s">
        <v>1500</v>
      </c>
      <c r="B23" s="83" t="s">
        <v>1499</v>
      </c>
      <c r="C23" s="205" t="s">
        <v>1963</v>
      </c>
      <c r="D23" s="30">
        <f>18</f>
        <v>18</v>
      </c>
      <c r="E23" s="204" t="s">
        <v>1717</v>
      </c>
    </row>
    <row r="24" spans="1:5" s="196" customFormat="1" ht="42" customHeight="1">
      <c r="A24" s="83" t="s">
        <v>1962</v>
      </c>
      <c r="B24" s="83" t="s">
        <v>1961</v>
      </c>
      <c r="C24" s="205" t="s">
        <v>1960</v>
      </c>
      <c r="D24" s="30">
        <v>38.157</v>
      </c>
      <c r="E24" s="204" t="s">
        <v>1489</v>
      </c>
    </row>
    <row r="25" spans="1:5" s="196" customFormat="1" ht="38.25">
      <c r="A25" s="61" t="s">
        <v>1723</v>
      </c>
      <c r="B25" s="61" t="s">
        <v>1722</v>
      </c>
      <c r="C25" s="158" t="s">
        <v>1724</v>
      </c>
      <c r="D25" s="30">
        <v>17.53</v>
      </c>
      <c r="E25" s="97" t="s">
        <v>1959</v>
      </c>
    </row>
    <row r="26" spans="1:5" s="196" customFormat="1" ht="51">
      <c r="A26" s="83" t="s">
        <v>1958</v>
      </c>
      <c r="B26" s="83" t="s">
        <v>1603</v>
      </c>
      <c r="C26" s="158" t="s">
        <v>1927</v>
      </c>
      <c r="D26" s="202">
        <v>11.99326</v>
      </c>
      <c r="E26" s="61" t="s">
        <v>1493</v>
      </c>
    </row>
    <row r="27" spans="1:5" s="196" customFormat="1" ht="54.75" customHeight="1">
      <c r="A27" s="83" t="s">
        <v>1779</v>
      </c>
      <c r="B27" s="83" t="s">
        <v>1778</v>
      </c>
      <c r="C27" s="158" t="s">
        <v>1957</v>
      </c>
      <c r="D27" s="202">
        <v>11.99326</v>
      </c>
      <c r="E27" s="61" t="s">
        <v>1489</v>
      </c>
    </row>
    <row r="28" spans="1:5" s="196" customFormat="1" ht="51">
      <c r="A28" s="83" t="s">
        <v>1615</v>
      </c>
      <c r="B28" s="83" t="s">
        <v>1614</v>
      </c>
      <c r="C28" s="158" t="s">
        <v>1956</v>
      </c>
      <c r="D28" s="202">
        <v>23.99362</v>
      </c>
      <c r="E28" s="61" t="s">
        <v>1489</v>
      </c>
    </row>
    <row r="29" spans="1:5" s="196" customFormat="1" ht="42.75" customHeight="1">
      <c r="A29" s="83" t="s">
        <v>1926</v>
      </c>
      <c r="B29" s="83" t="s">
        <v>1925</v>
      </c>
      <c r="C29" s="158" t="s">
        <v>1955</v>
      </c>
      <c r="D29" s="202">
        <v>41.576</v>
      </c>
      <c r="E29" s="61" t="s">
        <v>1493</v>
      </c>
    </row>
    <row r="30" spans="1:5" s="196" customFormat="1" ht="51">
      <c r="A30" s="83" t="s">
        <v>1644</v>
      </c>
      <c r="B30" s="83" t="s">
        <v>1643</v>
      </c>
      <c r="C30" s="158" t="s">
        <v>1954</v>
      </c>
      <c r="D30" s="202">
        <v>22.12742</v>
      </c>
      <c r="E30" s="61" t="s">
        <v>1883</v>
      </c>
    </row>
    <row r="31" spans="1:5" s="196" customFormat="1" ht="43.5" customHeight="1">
      <c r="A31" s="83" t="s">
        <v>1624</v>
      </c>
      <c r="B31" s="83" t="s">
        <v>1623</v>
      </c>
      <c r="C31" s="158" t="s">
        <v>1953</v>
      </c>
      <c r="D31" s="202">
        <v>126.6</v>
      </c>
      <c r="E31" s="97" t="s">
        <v>1392</v>
      </c>
    </row>
    <row r="32" spans="1:5" s="196" customFormat="1" ht="51">
      <c r="A32" s="83" t="s">
        <v>1920</v>
      </c>
      <c r="B32" s="83" t="s">
        <v>1919</v>
      </c>
      <c r="C32" s="158" t="s">
        <v>1952</v>
      </c>
      <c r="D32" s="202">
        <v>69.99126</v>
      </c>
      <c r="E32" s="61" t="s">
        <v>1489</v>
      </c>
    </row>
    <row r="33" spans="1:5" s="196" customFormat="1" ht="51">
      <c r="A33" s="83" t="s">
        <v>1654</v>
      </c>
      <c r="B33" s="83" t="s">
        <v>1776</v>
      </c>
      <c r="C33" s="158" t="s">
        <v>1951</v>
      </c>
      <c r="D33" s="202">
        <v>28.12548</v>
      </c>
      <c r="E33" s="61" t="s">
        <v>1489</v>
      </c>
    </row>
    <row r="34" spans="1:5" s="196" customFormat="1" ht="76.5">
      <c r="A34" s="61" t="s">
        <v>1591</v>
      </c>
      <c r="B34" s="83" t="s">
        <v>1590</v>
      </c>
      <c r="C34" s="158" t="s">
        <v>1950</v>
      </c>
      <c r="D34" s="202">
        <v>74.836</v>
      </c>
      <c r="E34" s="61" t="s">
        <v>1582</v>
      </c>
    </row>
    <row r="35" spans="1:5" s="196" customFormat="1" ht="51">
      <c r="A35" s="83" t="s">
        <v>1935</v>
      </c>
      <c r="B35" s="83" t="s">
        <v>1934</v>
      </c>
      <c r="C35" s="158" t="s">
        <v>1949</v>
      </c>
      <c r="D35" s="202">
        <v>57.51855</v>
      </c>
      <c r="E35" s="61" t="s">
        <v>1909</v>
      </c>
    </row>
    <row r="36" spans="1:5" s="196" customFormat="1" ht="51">
      <c r="A36" s="83" t="s">
        <v>1947</v>
      </c>
      <c r="B36" s="83" t="s">
        <v>1626</v>
      </c>
      <c r="C36" s="158" t="s">
        <v>1948</v>
      </c>
      <c r="D36" s="202">
        <v>70</v>
      </c>
      <c r="E36" s="97" t="s">
        <v>1392</v>
      </c>
    </row>
    <row r="37" spans="1:5" s="196" customFormat="1" ht="51">
      <c r="A37" s="83" t="s">
        <v>1947</v>
      </c>
      <c r="B37" s="83" t="s">
        <v>1626</v>
      </c>
      <c r="C37" s="158" t="s">
        <v>1946</v>
      </c>
      <c r="D37" s="202">
        <v>126.6</v>
      </c>
      <c r="E37" s="97" t="s">
        <v>1392</v>
      </c>
    </row>
    <row r="38" spans="1:5" s="196" customFormat="1" ht="38.25">
      <c r="A38" s="83" t="s">
        <v>1945</v>
      </c>
      <c r="B38" s="83" t="s">
        <v>1944</v>
      </c>
      <c r="C38" s="158" t="s">
        <v>1943</v>
      </c>
      <c r="D38" s="202">
        <v>41.54621</v>
      </c>
      <c r="E38" s="61" t="s">
        <v>1489</v>
      </c>
    </row>
    <row r="39" spans="1:5" s="196" customFormat="1" ht="42.75" customHeight="1">
      <c r="A39" s="83" t="s">
        <v>1942</v>
      </c>
      <c r="B39" s="83" t="s">
        <v>1623</v>
      </c>
      <c r="C39" s="158" t="s">
        <v>1941</v>
      </c>
      <c r="D39" s="202">
        <v>52.662</v>
      </c>
      <c r="E39" s="61" t="s">
        <v>1940</v>
      </c>
    </row>
    <row r="40" spans="1:5" s="196" customFormat="1" ht="42" customHeight="1">
      <c r="A40" s="83" t="s">
        <v>1939</v>
      </c>
      <c r="B40" s="83" t="s">
        <v>1938</v>
      </c>
      <c r="C40" s="158" t="s">
        <v>1937</v>
      </c>
      <c r="D40" s="202">
        <v>51.99662</v>
      </c>
      <c r="E40" s="61" t="s">
        <v>1489</v>
      </c>
    </row>
    <row r="41" spans="1:5" s="196" customFormat="1" ht="51">
      <c r="A41" s="83" t="s">
        <v>1650</v>
      </c>
      <c r="B41" s="83" t="s">
        <v>1603</v>
      </c>
      <c r="C41" s="158" t="s">
        <v>1936</v>
      </c>
      <c r="D41" s="202">
        <v>57.783669</v>
      </c>
      <c r="E41" s="61" t="s">
        <v>1909</v>
      </c>
    </row>
    <row r="42" spans="1:5" s="196" customFormat="1" ht="51">
      <c r="A42" s="83" t="s">
        <v>1935</v>
      </c>
      <c r="B42" s="83" t="s">
        <v>1934</v>
      </c>
      <c r="C42" s="158" t="s">
        <v>1933</v>
      </c>
      <c r="D42" s="202">
        <v>30</v>
      </c>
      <c r="E42" s="61" t="s">
        <v>1932</v>
      </c>
    </row>
    <row r="43" spans="1:5" s="196" customFormat="1" ht="51">
      <c r="A43" s="61" t="s">
        <v>1931</v>
      </c>
      <c r="B43" s="83" t="s">
        <v>1633</v>
      </c>
      <c r="C43" s="158" t="s">
        <v>1930</v>
      </c>
      <c r="D43" s="202">
        <v>74.836</v>
      </c>
      <c r="E43" s="61" t="s">
        <v>1733</v>
      </c>
    </row>
    <row r="44" spans="1:5" s="196" customFormat="1" ht="51">
      <c r="A44" s="61" t="s">
        <v>1929</v>
      </c>
      <c r="B44" s="83" t="s">
        <v>1928</v>
      </c>
      <c r="C44" s="158" t="s">
        <v>1927</v>
      </c>
      <c r="D44" s="202">
        <v>12</v>
      </c>
      <c r="E44" s="61" t="s">
        <v>1563</v>
      </c>
    </row>
    <row r="45" spans="1:5" s="196" customFormat="1" ht="38.25">
      <c r="A45" s="61" t="s">
        <v>1926</v>
      </c>
      <c r="B45" s="83" t="s">
        <v>1925</v>
      </c>
      <c r="C45" s="158" t="s">
        <v>1924</v>
      </c>
      <c r="D45" s="202">
        <v>11.99326</v>
      </c>
      <c r="E45" s="61" t="s">
        <v>1489</v>
      </c>
    </row>
    <row r="46" spans="1:5" s="196" customFormat="1" ht="51">
      <c r="A46" s="61" t="s">
        <v>1923</v>
      </c>
      <c r="B46" s="83" t="s">
        <v>1922</v>
      </c>
      <c r="C46" s="158" t="s">
        <v>1921</v>
      </c>
      <c r="D46" s="202">
        <v>11.99326</v>
      </c>
      <c r="E46" s="97" t="s">
        <v>1493</v>
      </c>
    </row>
    <row r="47" spans="1:5" s="196" customFormat="1" ht="51">
      <c r="A47" s="83" t="s">
        <v>1920</v>
      </c>
      <c r="B47" s="83" t="s">
        <v>1919</v>
      </c>
      <c r="C47" s="158" t="s">
        <v>1918</v>
      </c>
      <c r="D47" s="202">
        <v>11.99326</v>
      </c>
      <c r="E47" s="97" t="s">
        <v>1493</v>
      </c>
    </row>
    <row r="48" spans="1:5" s="196" customFormat="1" ht="51">
      <c r="A48" s="61" t="s">
        <v>1581</v>
      </c>
      <c r="B48" s="83" t="s">
        <v>1580</v>
      </c>
      <c r="C48" s="158" t="s">
        <v>1917</v>
      </c>
      <c r="D48" s="202">
        <v>126.61924</v>
      </c>
      <c r="E48" s="61" t="s">
        <v>1489</v>
      </c>
    </row>
    <row r="49" spans="1:5" s="196" customFormat="1" ht="51">
      <c r="A49" s="61" t="s">
        <v>1581</v>
      </c>
      <c r="B49" s="83" t="s">
        <v>1580</v>
      </c>
      <c r="C49" s="158" t="s">
        <v>1916</v>
      </c>
      <c r="D49" s="202">
        <v>70</v>
      </c>
      <c r="E49" s="97" t="s">
        <v>1392</v>
      </c>
    </row>
    <row r="50" spans="1:5" s="196" customFormat="1" ht="51">
      <c r="A50" s="61" t="s">
        <v>1915</v>
      </c>
      <c r="B50" s="83" t="s">
        <v>1914</v>
      </c>
      <c r="C50" s="158" t="s">
        <v>1913</v>
      </c>
      <c r="D50" s="202">
        <v>41.576</v>
      </c>
      <c r="E50" s="97" t="s">
        <v>1862</v>
      </c>
    </row>
    <row r="51" spans="1:5" s="196" customFormat="1" ht="51">
      <c r="A51" s="61" t="s">
        <v>1658</v>
      </c>
      <c r="B51" s="83" t="s">
        <v>1657</v>
      </c>
      <c r="C51" s="158" t="s">
        <v>1912</v>
      </c>
      <c r="D51" s="202">
        <v>52.662</v>
      </c>
      <c r="E51" s="97" t="s">
        <v>1358</v>
      </c>
    </row>
    <row r="52" spans="1:5" s="196" customFormat="1" ht="51">
      <c r="A52" s="61" t="s">
        <v>1658</v>
      </c>
      <c r="B52" s="83" t="s">
        <v>1657</v>
      </c>
      <c r="C52" s="158" t="s">
        <v>1911</v>
      </c>
      <c r="D52" s="202">
        <v>147.337</v>
      </c>
      <c r="E52" s="97" t="s">
        <v>1392</v>
      </c>
    </row>
    <row r="53" spans="1:5" s="196" customFormat="1" ht="51">
      <c r="A53" s="61" t="s">
        <v>1650</v>
      </c>
      <c r="B53" s="83" t="s">
        <v>1603</v>
      </c>
      <c r="C53" s="158" t="s">
        <v>1910</v>
      </c>
      <c r="D53" s="202">
        <v>72.2</v>
      </c>
      <c r="E53" s="97" t="s">
        <v>1909</v>
      </c>
    </row>
    <row r="54" spans="1:5" s="196" customFormat="1" ht="38.25">
      <c r="A54" s="83" t="s">
        <v>1720</v>
      </c>
      <c r="B54" s="83" t="s">
        <v>1719</v>
      </c>
      <c r="C54" s="201" t="s">
        <v>1718</v>
      </c>
      <c r="D54" s="202">
        <v>30</v>
      </c>
      <c r="E54" s="97" t="s">
        <v>1717</v>
      </c>
    </row>
    <row r="55" spans="1:5" s="196" customFormat="1" ht="38.25">
      <c r="A55" s="61" t="s">
        <v>1716</v>
      </c>
      <c r="B55" s="83" t="s">
        <v>1715</v>
      </c>
      <c r="C55" s="97" t="s">
        <v>1474</v>
      </c>
      <c r="D55" s="30">
        <v>23</v>
      </c>
      <c r="E55" s="97" t="s">
        <v>1358</v>
      </c>
    </row>
    <row r="56" spans="1:5" s="196" customFormat="1" ht="38.25">
      <c r="A56" s="61" t="s">
        <v>1716</v>
      </c>
      <c r="B56" s="83" t="s">
        <v>1715</v>
      </c>
      <c r="C56" s="158" t="s">
        <v>1714</v>
      </c>
      <c r="D56" s="202">
        <v>32</v>
      </c>
      <c r="E56" s="97" t="s">
        <v>1713</v>
      </c>
    </row>
    <row r="57" spans="1:5" s="196" customFormat="1" ht="38.25">
      <c r="A57" s="61" t="s">
        <v>1712</v>
      </c>
      <c r="B57" s="83" t="s">
        <v>1711</v>
      </c>
      <c r="C57" s="158" t="s">
        <v>1908</v>
      </c>
      <c r="D57" s="202">
        <f>20+22.862</f>
        <v>42.861999999999995</v>
      </c>
      <c r="E57" s="97" t="s">
        <v>1907</v>
      </c>
    </row>
    <row r="58" spans="1:5" s="196" customFormat="1" ht="38.25">
      <c r="A58" s="61" t="s">
        <v>1712</v>
      </c>
      <c r="B58" s="83" t="s">
        <v>1711</v>
      </c>
      <c r="C58" s="97" t="s">
        <v>1671</v>
      </c>
      <c r="D58" s="30">
        <v>46.477</v>
      </c>
      <c r="E58" s="97" t="s">
        <v>1906</v>
      </c>
    </row>
    <row r="59" spans="1:5" s="196" customFormat="1" ht="38.25">
      <c r="A59" s="61" t="s">
        <v>1712</v>
      </c>
      <c r="B59" s="83" t="s">
        <v>1711</v>
      </c>
      <c r="C59" s="158" t="s">
        <v>1905</v>
      </c>
      <c r="D59" s="202">
        <v>11.8</v>
      </c>
      <c r="E59" s="97" t="s">
        <v>1904</v>
      </c>
    </row>
    <row r="60" spans="1:5" s="196" customFormat="1" ht="51">
      <c r="A60" s="61" t="s">
        <v>1898</v>
      </c>
      <c r="B60" s="83" t="s">
        <v>1897</v>
      </c>
      <c r="C60" s="97" t="s">
        <v>1697</v>
      </c>
      <c r="D60" s="30">
        <v>56.306</v>
      </c>
      <c r="E60" s="97" t="s">
        <v>1899</v>
      </c>
    </row>
    <row r="61" spans="1:5" s="196" customFormat="1" ht="51">
      <c r="A61" s="61" t="s">
        <v>1898</v>
      </c>
      <c r="B61" s="83" t="s">
        <v>1897</v>
      </c>
      <c r="C61" s="97" t="s">
        <v>1903</v>
      </c>
      <c r="D61" s="30">
        <v>131.431</v>
      </c>
      <c r="E61" s="97" t="s">
        <v>1899</v>
      </c>
    </row>
    <row r="62" spans="1:5" s="196" customFormat="1" ht="51">
      <c r="A62" s="61" t="s">
        <v>1898</v>
      </c>
      <c r="B62" s="83" t="s">
        <v>1897</v>
      </c>
      <c r="C62" s="97" t="s">
        <v>1902</v>
      </c>
      <c r="D62" s="30">
        <v>35.626</v>
      </c>
      <c r="E62" s="97" t="s">
        <v>1899</v>
      </c>
    </row>
    <row r="63" spans="1:5" s="196" customFormat="1" ht="51">
      <c r="A63" s="61" t="s">
        <v>1898</v>
      </c>
      <c r="B63" s="83" t="s">
        <v>1897</v>
      </c>
      <c r="C63" s="97" t="s">
        <v>1901</v>
      </c>
      <c r="D63" s="30">
        <v>41.947</v>
      </c>
      <c r="E63" s="97" t="s">
        <v>1899</v>
      </c>
    </row>
    <row r="64" spans="1:5" s="196" customFormat="1" ht="51">
      <c r="A64" s="61" t="s">
        <v>1898</v>
      </c>
      <c r="B64" s="83" t="s">
        <v>1897</v>
      </c>
      <c r="C64" s="97" t="s">
        <v>1900</v>
      </c>
      <c r="D64" s="30">
        <v>19.9</v>
      </c>
      <c r="E64" s="97" t="s">
        <v>1899</v>
      </c>
    </row>
    <row r="65" spans="1:5" s="196" customFormat="1" ht="51">
      <c r="A65" s="61" t="s">
        <v>1898</v>
      </c>
      <c r="B65" s="83" t="s">
        <v>1897</v>
      </c>
      <c r="C65" s="158" t="s">
        <v>1896</v>
      </c>
      <c r="D65" s="202">
        <v>74.836</v>
      </c>
      <c r="E65" s="97" t="s">
        <v>1895</v>
      </c>
    </row>
    <row r="66" spans="1:5" s="196" customFormat="1" ht="51">
      <c r="A66" s="61" t="s">
        <v>1894</v>
      </c>
      <c r="B66" s="83" t="s">
        <v>1893</v>
      </c>
      <c r="C66" s="97" t="s">
        <v>1474</v>
      </c>
      <c r="D66" s="30">
        <v>39.999</v>
      </c>
      <c r="E66" s="97" t="s">
        <v>1489</v>
      </c>
    </row>
    <row r="67" spans="1:5" s="196" customFormat="1" ht="51">
      <c r="A67" s="61" t="s">
        <v>1894</v>
      </c>
      <c r="B67" s="83" t="s">
        <v>1893</v>
      </c>
      <c r="C67" s="158" t="s">
        <v>1892</v>
      </c>
      <c r="D67" s="202">
        <v>74.8</v>
      </c>
      <c r="E67" s="97" t="s">
        <v>1489</v>
      </c>
    </row>
    <row r="68" spans="1:5" s="196" customFormat="1" ht="76.5">
      <c r="A68" s="61" t="s">
        <v>1891</v>
      </c>
      <c r="B68" s="83" t="s">
        <v>1495</v>
      </c>
      <c r="C68" s="158" t="s">
        <v>1890</v>
      </c>
      <c r="D68" s="202">
        <f>30.05608</f>
        <v>30.05608</v>
      </c>
      <c r="E68" s="97" t="s">
        <v>1889</v>
      </c>
    </row>
    <row r="69" spans="1:5" s="196" customFormat="1" ht="51">
      <c r="A69" s="61" t="s">
        <v>1888</v>
      </c>
      <c r="B69" s="83" t="s">
        <v>1887</v>
      </c>
      <c r="C69" s="158" t="s">
        <v>1886</v>
      </c>
      <c r="D69" s="202">
        <f>30+80.274</f>
        <v>110.274</v>
      </c>
      <c r="E69" s="97" t="s">
        <v>1876</v>
      </c>
    </row>
    <row r="70" spans="1:5" s="196" customFormat="1" ht="38.25">
      <c r="A70" s="61" t="s">
        <v>1885</v>
      </c>
      <c r="B70" s="83" t="s">
        <v>1668</v>
      </c>
      <c r="C70" s="205" t="s">
        <v>1884</v>
      </c>
      <c r="D70" s="30">
        <v>38.804</v>
      </c>
      <c r="E70" s="206" t="s">
        <v>1883</v>
      </c>
    </row>
    <row r="71" spans="1:5" s="196" customFormat="1" ht="38.25">
      <c r="A71" s="61" t="s">
        <v>1882</v>
      </c>
      <c r="B71" s="83" t="s">
        <v>1881</v>
      </c>
      <c r="C71" s="205" t="s">
        <v>1880</v>
      </c>
      <c r="D71" s="30">
        <v>22.662</v>
      </c>
      <c r="E71" s="206" t="s">
        <v>1412</v>
      </c>
    </row>
    <row r="72" spans="1:5" s="196" customFormat="1" ht="25.5">
      <c r="A72" s="61" t="s">
        <v>1879</v>
      </c>
      <c r="B72" s="83" t="s">
        <v>1878</v>
      </c>
      <c r="C72" s="158" t="s">
        <v>1877</v>
      </c>
      <c r="D72" s="202">
        <v>33.504</v>
      </c>
      <c r="E72" s="97" t="s">
        <v>1876</v>
      </c>
    </row>
    <row r="73" spans="1:5" s="196" customFormat="1" ht="51">
      <c r="A73" s="61" t="s">
        <v>1539</v>
      </c>
      <c r="B73" s="83" t="s">
        <v>1538</v>
      </c>
      <c r="C73" s="158" t="s">
        <v>1875</v>
      </c>
      <c r="D73" s="202">
        <v>27.717</v>
      </c>
      <c r="E73" s="97" t="s">
        <v>1713</v>
      </c>
    </row>
    <row r="74" spans="1:5" s="196" customFormat="1" ht="51">
      <c r="A74" s="61" t="s">
        <v>1874</v>
      </c>
      <c r="B74" s="83" t="s">
        <v>1873</v>
      </c>
      <c r="C74" s="158" t="s">
        <v>1872</v>
      </c>
      <c r="D74" s="202">
        <v>60.69016</v>
      </c>
      <c r="E74" s="97" t="s">
        <v>1489</v>
      </c>
    </row>
    <row r="75" spans="1:5" s="196" customFormat="1" ht="51">
      <c r="A75" s="61" t="s">
        <v>1871</v>
      </c>
      <c r="B75" s="83" t="s">
        <v>1870</v>
      </c>
      <c r="C75" s="158" t="s">
        <v>1869</v>
      </c>
      <c r="D75" s="202">
        <v>37.63414</v>
      </c>
      <c r="E75" s="97" t="s">
        <v>1489</v>
      </c>
    </row>
    <row r="76" spans="1:5" s="196" customFormat="1" ht="51">
      <c r="A76" s="61" t="s">
        <v>1868</v>
      </c>
      <c r="B76" s="83" t="s">
        <v>1867</v>
      </c>
      <c r="C76" s="158" t="s">
        <v>1866</v>
      </c>
      <c r="D76" s="202">
        <f>19.6572+125.91162</f>
        <v>145.56882</v>
      </c>
      <c r="E76" s="97" t="s">
        <v>1501</v>
      </c>
    </row>
    <row r="77" spans="1:5" s="196" customFormat="1" ht="28.5" customHeight="1">
      <c r="A77" s="61" t="s">
        <v>1865</v>
      </c>
      <c r="B77" s="83" t="s">
        <v>1864</v>
      </c>
      <c r="C77" s="158" t="s">
        <v>1863</v>
      </c>
      <c r="D77" s="202">
        <v>38.804</v>
      </c>
      <c r="E77" s="61" t="s">
        <v>1862</v>
      </c>
    </row>
    <row r="78" spans="1:5" s="196" customFormat="1" ht="38.25">
      <c r="A78" s="61" t="s">
        <v>1861</v>
      </c>
      <c r="B78" s="83" t="s">
        <v>1860</v>
      </c>
      <c r="C78" s="158" t="s">
        <v>1859</v>
      </c>
      <c r="D78" s="202">
        <v>38.804</v>
      </c>
      <c r="E78" s="61" t="s">
        <v>1713</v>
      </c>
    </row>
    <row r="79" spans="1:5" s="196" customFormat="1" ht="38.25">
      <c r="A79" s="61" t="s">
        <v>1858</v>
      </c>
      <c r="B79" s="83" t="s">
        <v>1857</v>
      </c>
      <c r="C79" s="158" t="s">
        <v>1856</v>
      </c>
      <c r="D79" s="202">
        <v>41.139</v>
      </c>
      <c r="E79" s="61" t="s">
        <v>1469</v>
      </c>
    </row>
    <row r="80" spans="1:5" s="196" customFormat="1" ht="42" customHeight="1">
      <c r="A80" s="83" t="s">
        <v>1855</v>
      </c>
      <c r="B80" s="83" t="s">
        <v>1854</v>
      </c>
      <c r="C80" s="158" t="s">
        <v>1853</v>
      </c>
      <c r="D80" s="202">
        <v>23.1</v>
      </c>
      <c r="E80" s="61" t="s">
        <v>1358</v>
      </c>
    </row>
    <row r="81" spans="1:5" s="196" customFormat="1" ht="42.75" customHeight="1">
      <c r="A81" s="83" t="s">
        <v>1850</v>
      </c>
      <c r="B81" s="83" t="s">
        <v>1852</v>
      </c>
      <c r="C81" s="158" t="s">
        <v>1851</v>
      </c>
      <c r="D81" s="202">
        <v>11.9</v>
      </c>
      <c r="E81" s="61" t="s">
        <v>1529</v>
      </c>
    </row>
    <row r="82" spans="1:5" s="196" customFormat="1" ht="42.75" customHeight="1">
      <c r="A82" s="83" t="s">
        <v>1850</v>
      </c>
      <c r="B82" s="83" t="s">
        <v>1849</v>
      </c>
      <c r="C82" s="158" t="s">
        <v>1848</v>
      </c>
      <c r="D82" s="202">
        <v>11.9</v>
      </c>
      <c r="E82" s="158" t="s">
        <v>1529</v>
      </c>
    </row>
    <row r="83" spans="1:5" s="196" customFormat="1" ht="42" customHeight="1">
      <c r="A83" s="83" t="s">
        <v>1828</v>
      </c>
      <c r="B83" s="83" t="s">
        <v>1827</v>
      </c>
      <c r="C83" s="158" t="s">
        <v>1847</v>
      </c>
      <c r="D83" s="202">
        <v>11.9</v>
      </c>
      <c r="E83" s="158" t="s">
        <v>1529</v>
      </c>
    </row>
    <row r="84" spans="1:5" s="196" customFormat="1" ht="41.25" customHeight="1">
      <c r="A84" s="83" t="s">
        <v>1846</v>
      </c>
      <c r="B84" s="83" t="s">
        <v>1845</v>
      </c>
      <c r="C84" s="158" t="s">
        <v>1844</v>
      </c>
      <c r="D84" s="202">
        <v>195.5</v>
      </c>
      <c r="E84" s="158" t="s">
        <v>1605</v>
      </c>
    </row>
    <row r="85" spans="1:5" s="196" customFormat="1" ht="38.25">
      <c r="A85" s="83" t="s">
        <v>1843</v>
      </c>
      <c r="B85" s="83" t="s">
        <v>1842</v>
      </c>
      <c r="C85" s="158" t="s">
        <v>1841</v>
      </c>
      <c r="D85" s="202">
        <v>45.02348</v>
      </c>
      <c r="E85" s="61" t="s">
        <v>1840</v>
      </c>
    </row>
    <row r="86" spans="1:5" s="196" customFormat="1" ht="38.25">
      <c r="A86" s="83" t="s">
        <v>1839</v>
      </c>
      <c r="B86" s="83" t="s">
        <v>1611</v>
      </c>
      <c r="C86" s="158" t="s">
        <v>1838</v>
      </c>
      <c r="D86" s="202">
        <v>40.67787</v>
      </c>
      <c r="E86" s="61" t="s">
        <v>1489</v>
      </c>
    </row>
    <row r="87" spans="1:5" s="196" customFormat="1" ht="38.25">
      <c r="A87" s="83" t="s">
        <v>1837</v>
      </c>
      <c r="B87" s="83" t="s">
        <v>1836</v>
      </c>
      <c r="C87" s="158" t="s">
        <v>1835</v>
      </c>
      <c r="D87" s="202">
        <v>38.076</v>
      </c>
      <c r="E87" s="61" t="s">
        <v>1493</v>
      </c>
    </row>
    <row r="88" spans="1:5" s="196" customFormat="1" ht="38.25">
      <c r="A88" s="83" t="s">
        <v>1834</v>
      </c>
      <c r="B88" s="83" t="s">
        <v>1833</v>
      </c>
      <c r="C88" s="158" t="s">
        <v>1832</v>
      </c>
      <c r="D88" s="202">
        <v>199.772</v>
      </c>
      <c r="E88" s="61" t="s">
        <v>1493</v>
      </c>
    </row>
    <row r="89" spans="1:5" s="196" customFormat="1" ht="38.25">
      <c r="A89" s="61" t="s">
        <v>1831</v>
      </c>
      <c r="B89" s="83" t="s">
        <v>1830</v>
      </c>
      <c r="C89" s="158" t="s">
        <v>1829</v>
      </c>
      <c r="D89" s="202">
        <v>20</v>
      </c>
      <c r="E89" s="61" t="s">
        <v>1713</v>
      </c>
    </row>
    <row r="90" spans="1:5" s="196" customFormat="1" ht="38.25">
      <c r="A90" s="83" t="s">
        <v>1828</v>
      </c>
      <c r="B90" s="83" t="s">
        <v>1827</v>
      </c>
      <c r="C90" s="158" t="s">
        <v>1826</v>
      </c>
      <c r="D90" s="202">
        <v>41.576</v>
      </c>
      <c r="E90" s="61" t="s">
        <v>1497</v>
      </c>
    </row>
    <row r="91" spans="1:5" s="196" customFormat="1" ht="38.25">
      <c r="A91" s="83" t="s">
        <v>1578</v>
      </c>
      <c r="B91" s="83" t="s">
        <v>1577</v>
      </c>
      <c r="C91" s="158" t="s">
        <v>1825</v>
      </c>
      <c r="D91" s="202">
        <v>41.576</v>
      </c>
      <c r="E91" s="61" t="s">
        <v>1713</v>
      </c>
    </row>
    <row r="92" spans="1:5" s="196" customFormat="1" ht="38.25">
      <c r="A92" s="83" t="s">
        <v>1824</v>
      </c>
      <c r="B92" s="83" t="s">
        <v>1823</v>
      </c>
      <c r="C92" s="158" t="s">
        <v>1822</v>
      </c>
      <c r="D92" s="202">
        <v>61.7362</v>
      </c>
      <c r="E92" s="61" t="s">
        <v>1821</v>
      </c>
    </row>
    <row r="93" spans="1:5" s="196" customFormat="1" ht="38.25">
      <c r="A93" s="83" t="s">
        <v>1820</v>
      </c>
      <c r="B93" s="83" t="s">
        <v>1819</v>
      </c>
      <c r="C93" s="158" t="s">
        <v>1818</v>
      </c>
      <c r="D93" s="202">
        <v>76.875</v>
      </c>
      <c r="E93" s="61" t="s">
        <v>1717</v>
      </c>
    </row>
    <row r="94" spans="1:5" s="196" customFormat="1" ht="51">
      <c r="A94" s="83" t="s">
        <v>1816</v>
      </c>
      <c r="B94" s="83" t="s">
        <v>1815</v>
      </c>
      <c r="C94" s="158" t="s">
        <v>1817</v>
      </c>
      <c r="D94" s="202">
        <v>36</v>
      </c>
      <c r="E94" s="61" t="s">
        <v>1493</v>
      </c>
    </row>
    <row r="95" spans="1:5" s="196" customFormat="1" ht="51">
      <c r="A95" s="83" t="s">
        <v>1816</v>
      </c>
      <c r="B95" s="83" t="s">
        <v>1815</v>
      </c>
      <c r="C95" s="158" t="s">
        <v>1814</v>
      </c>
      <c r="D95" s="202">
        <v>11.99326</v>
      </c>
      <c r="E95" s="61" t="s">
        <v>1493</v>
      </c>
    </row>
    <row r="96" spans="1:5" s="196" customFormat="1" ht="38.25">
      <c r="A96" s="83" t="s">
        <v>1813</v>
      </c>
      <c r="B96" s="83" t="s">
        <v>1812</v>
      </c>
      <c r="C96" s="61" t="s">
        <v>1811</v>
      </c>
      <c r="D96" s="202">
        <v>51.92871</v>
      </c>
      <c r="E96" s="61" t="s">
        <v>1810</v>
      </c>
    </row>
    <row r="97" spans="1:5" s="196" customFormat="1" ht="51">
      <c r="A97" s="61" t="s">
        <v>1793</v>
      </c>
      <c r="B97" s="83" t="s">
        <v>1792</v>
      </c>
      <c r="C97" s="158" t="s">
        <v>1809</v>
      </c>
      <c r="D97" s="202">
        <v>12.912</v>
      </c>
      <c r="E97" s="61" t="s">
        <v>1497</v>
      </c>
    </row>
    <row r="98" spans="1:5" s="196" customFormat="1" ht="38.25">
      <c r="A98" s="61" t="s">
        <v>1517</v>
      </c>
      <c r="B98" s="83" t="s">
        <v>1516</v>
      </c>
      <c r="C98" s="158" t="s">
        <v>1808</v>
      </c>
      <c r="D98" s="202">
        <f>40</f>
        <v>40</v>
      </c>
      <c r="E98" s="61" t="s">
        <v>1497</v>
      </c>
    </row>
    <row r="99" spans="1:5" s="196" customFormat="1" ht="25.5">
      <c r="A99" s="61" t="s">
        <v>1517</v>
      </c>
      <c r="B99" s="83" t="s">
        <v>1516</v>
      </c>
      <c r="C99" s="158" t="s">
        <v>1807</v>
      </c>
      <c r="D99" s="202">
        <v>15.5828</v>
      </c>
      <c r="E99" s="61" t="s">
        <v>1497</v>
      </c>
    </row>
    <row r="100" spans="1:5" s="196" customFormat="1" ht="38.25">
      <c r="A100" s="61" t="s">
        <v>1806</v>
      </c>
      <c r="B100" s="83" t="s">
        <v>1805</v>
      </c>
      <c r="C100" s="158" t="s">
        <v>1804</v>
      </c>
      <c r="D100" s="202">
        <v>27.71645</v>
      </c>
      <c r="E100" s="61" t="s">
        <v>1489</v>
      </c>
    </row>
    <row r="101" spans="1:5" s="196" customFormat="1" ht="63.75">
      <c r="A101" s="61" t="s">
        <v>1803</v>
      </c>
      <c r="B101" s="83" t="s">
        <v>1802</v>
      </c>
      <c r="C101" s="158" t="s">
        <v>1801</v>
      </c>
      <c r="D101" s="202">
        <v>22.3</v>
      </c>
      <c r="E101" s="61" t="s">
        <v>1713</v>
      </c>
    </row>
    <row r="102" spans="1:5" s="196" customFormat="1" ht="38.25">
      <c r="A102" s="61" t="s">
        <v>1549</v>
      </c>
      <c r="B102" s="61" t="s">
        <v>1548</v>
      </c>
      <c r="C102" s="61" t="s">
        <v>1800</v>
      </c>
      <c r="D102" s="202">
        <v>12.19</v>
      </c>
      <c r="E102" s="61" t="s">
        <v>1563</v>
      </c>
    </row>
    <row r="103" spans="1:5" s="196" customFormat="1" ht="25.5">
      <c r="A103" s="83" t="s">
        <v>1799</v>
      </c>
      <c r="B103" s="83" t="s">
        <v>1798</v>
      </c>
      <c r="C103" s="61" t="s">
        <v>1797</v>
      </c>
      <c r="D103" s="202">
        <v>51.36441</v>
      </c>
      <c r="E103" s="61" t="s">
        <v>1641</v>
      </c>
    </row>
    <row r="104" spans="1:5" s="196" customFormat="1" ht="25.5">
      <c r="A104" s="83" t="s">
        <v>1796</v>
      </c>
      <c r="B104" s="83" t="s">
        <v>1795</v>
      </c>
      <c r="C104" s="61" t="s">
        <v>1794</v>
      </c>
      <c r="D104" s="202">
        <v>29.81348</v>
      </c>
      <c r="E104" s="61" t="s">
        <v>1641</v>
      </c>
    </row>
    <row r="105" spans="1:5" s="196" customFormat="1" ht="51">
      <c r="A105" s="61" t="s">
        <v>1793</v>
      </c>
      <c r="B105" s="83" t="s">
        <v>1792</v>
      </c>
      <c r="C105" s="158" t="s">
        <v>1791</v>
      </c>
      <c r="D105" s="202">
        <v>19.0904</v>
      </c>
      <c r="E105" s="61" t="s">
        <v>1497</v>
      </c>
    </row>
    <row r="106" spans="1:5" s="196" customFormat="1" ht="51">
      <c r="A106" s="83" t="s">
        <v>1790</v>
      </c>
      <c r="B106" s="83" t="s">
        <v>1789</v>
      </c>
      <c r="C106" s="158" t="s">
        <v>1788</v>
      </c>
      <c r="D106" s="202">
        <v>15</v>
      </c>
      <c r="E106" s="61" t="s">
        <v>1493</v>
      </c>
    </row>
    <row r="107" spans="1:5" s="196" customFormat="1" ht="51">
      <c r="A107" s="61" t="s">
        <v>1787</v>
      </c>
      <c r="B107" s="83" t="s">
        <v>1786</v>
      </c>
      <c r="C107" s="158" t="s">
        <v>1785</v>
      </c>
      <c r="D107" s="202">
        <v>11.9</v>
      </c>
      <c r="E107" s="61" t="s">
        <v>1529</v>
      </c>
    </row>
    <row r="108" spans="1:5" s="196" customFormat="1" ht="51">
      <c r="A108" s="61" t="s">
        <v>1784</v>
      </c>
      <c r="B108" s="83" t="s">
        <v>1620</v>
      </c>
      <c r="C108" s="158" t="s">
        <v>1783</v>
      </c>
      <c r="D108" s="202">
        <v>11.9</v>
      </c>
      <c r="E108" s="61" t="s">
        <v>1529</v>
      </c>
    </row>
    <row r="109" spans="1:5" s="196" customFormat="1" ht="51">
      <c r="A109" s="61" t="s">
        <v>1782</v>
      </c>
      <c r="B109" s="83" t="s">
        <v>1781</v>
      </c>
      <c r="C109" s="158" t="s">
        <v>1780</v>
      </c>
      <c r="D109" s="202">
        <v>17.06716</v>
      </c>
      <c r="E109" s="61" t="s">
        <v>1641</v>
      </c>
    </row>
    <row r="110" spans="1:5" s="196" customFormat="1" ht="51">
      <c r="A110" s="61" t="s">
        <v>1779</v>
      </c>
      <c r="B110" s="83" t="s">
        <v>1778</v>
      </c>
      <c r="C110" s="158" t="s">
        <v>1777</v>
      </c>
      <c r="D110" s="202">
        <v>49.783</v>
      </c>
      <c r="E110" s="61" t="s">
        <v>1493</v>
      </c>
    </row>
    <row r="111" spans="1:5" s="196" customFormat="1" ht="51">
      <c r="A111" s="61" t="s">
        <v>1654</v>
      </c>
      <c r="B111" s="83" t="s">
        <v>1776</v>
      </c>
      <c r="C111" s="158" t="s">
        <v>1775</v>
      </c>
      <c r="D111" s="202">
        <v>12.415</v>
      </c>
      <c r="E111" s="61" t="s">
        <v>1563</v>
      </c>
    </row>
    <row r="112" spans="1:5" s="196" customFormat="1" ht="51">
      <c r="A112" s="61" t="s">
        <v>1588</v>
      </c>
      <c r="B112" s="83" t="s">
        <v>1587</v>
      </c>
      <c r="C112" s="158" t="s">
        <v>1774</v>
      </c>
      <c r="D112" s="202">
        <v>14.937</v>
      </c>
      <c r="E112" s="61" t="s">
        <v>1563</v>
      </c>
    </row>
    <row r="113" spans="1:5" s="196" customFormat="1" ht="51">
      <c r="A113" s="61" t="s">
        <v>1636</v>
      </c>
      <c r="B113" s="83" t="s">
        <v>1629</v>
      </c>
      <c r="C113" s="158" t="s">
        <v>1773</v>
      </c>
      <c r="D113" s="202">
        <v>12.048</v>
      </c>
      <c r="E113" s="61" t="s">
        <v>1563</v>
      </c>
    </row>
    <row r="114" spans="1:5" s="196" customFormat="1" ht="51">
      <c r="A114" s="61" t="s">
        <v>1772</v>
      </c>
      <c r="B114" s="83" t="s">
        <v>1771</v>
      </c>
      <c r="C114" s="158" t="s">
        <v>1770</v>
      </c>
      <c r="D114" s="202">
        <v>12.504</v>
      </c>
      <c r="E114" s="61" t="s">
        <v>1563</v>
      </c>
    </row>
    <row r="115" spans="1:5" s="196" customFormat="1" ht="51">
      <c r="A115" s="61" t="s">
        <v>1769</v>
      </c>
      <c r="B115" s="83" t="s">
        <v>1768</v>
      </c>
      <c r="C115" s="158" t="s">
        <v>1767</v>
      </c>
      <c r="D115" s="202">
        <v>23.799</v>
      </c>
      <c r="E115" s="61" t="s">
        <v>1529</v>
      </c>
    </row>
    <row r="116" spans="1:5" s="196" customFormat="1" ht="51">
      <c r="A116" s="83" t="s">
        <v>1660</v>
      </c>
      <c r="B116" s="83" t="s">
        <v>1337</v>
      </c>
      <c r="C116" s="158" t="s">
        <v>1766</v>
      </c>
      <c r="D116" s="202">
        <v>11.455</v>
      </c>
      <c r="E116" s="61" t="s">
        <v>1497</v>
      </c>
    </row>
    <row r="117" spans="1:5" s="196" customFormat="1" ht="51">
      <c r="A117" s="61" t="s">
        <v>1765</v>
      </c>
      <c r="B117" s="83" t="s">
        <v>1764</v>
      </c>
      <c r="C117" s="61" t="s">
        <v>1763</v>
      </c>
      <c r="D117" s="202">
        <v>14.955</v>
      </c>
      <c r="E117" s="61" t="s">
        <v>1641</v>
      </c>
    </row>
    <row r="118" spans="1:5" s="196" customFormat="1" ht="51">
      <c r="A118" s="61" t="s">
        <v>1762</v>
      </c>
      <c r="B118" s="83" t="s">
        <v>1761</v>
      </c>
      <c r="C118" s="61" t="s">
        <v>1760</v>
      </c>
      <c r="D118" s="202">
        <v>37.397621</v>
      </c>
      <c r="E118" s="61" t="s">
        <v>1489</v>
      </c>
    </row>
    <row r="119" spans="1:5" s="196" customFormat="1" ht="51">
      <c r="A119" s="61" t="s">
        <v>1618</v>
      </c>
      <c r="B119" s="83" t="s">
        <v>1617</v>
      </c>
      <c r="C119" s="158" t="s">
        <v>1759</v>
      </c>
      <c r="D119" s="202">
        <v>41.38</v>
      </c>
      <c r="E119" s="61" t="s">
        <v>1493</v>
      </c>
    </row>
    <row r="120" spans="1:5" s="196" customFormat="1" ht="51">
      <c r="A120" s="61" t="s">
        <v>1758</v>
      </c>
      <c r="B120" s="83" t="s">
        <v>1757</v>
      </c>
      <c r="C120" s="158" t="s">
        <v>1756</v>
      </c>
      <c r="D120" s="202">
        <v>92.98348</v>
      </c>
      <c r="E120" s="61" t="s">
        <v>1489</v>
      </c>
    </row>
    <row r="121" spans="1:5" s="196" customFormat="1" ht="51">
      <c r="A121" s="61" t="s">
        <v>1746</v>
      </c>
      <c r="B121" s="83" t="s">
        <v>1745</v>
      </c>
      <c r="C121" s="158" t="s">
        <v>1755</v>
      </c>
      <c r="D121" s="202">
        <v>11.99326</v>
      </c>
      <c r="E121" s="61" t="s">
        <v>1493</v>
      </c>
    </row>
    <row r="122" spans="1:5" s="196" customFormat="1" ht="51">
      <c r="A122" s="61" t="s">
        <v>1618</v>
      </c>
      <c r="B122" s="83" t="s">
        <v>1617</v>
      </c>
      <c r="C122" s="158" t="s">
        <v>1754</v>
      </c>
      <c r="D122" s="202">
        <v>114.78708</v>
      </c>
      <c r="E122" s="61" t="s">
        <v>1753</v>
      </c>
    </row>
    <row r="123" spans="1:5" s="196" customFormat="1" ht="63.75">
      <c r="A123" s="61" t="s">
        <v>1752</v>
      </c>
      <c r="B123" s="83" t="s">
        <v>1751</v>
      </c>
      <c r="C123" s="158" t="s">
        <v>1750</v>
      </c>
      <c r="D123" s="202">
        <v>29.9496</v>
      </c>
      <c r="E123" s="61" t="s">
        <v>1501</v>
      </c>
    </row>
    <row r="124" spans="1:5" s="196" customFormat="1" ht="51">
      <c r="A124" s="61" t="s">
        <v>1749</v>
      </c>
      <c r="B124" s="83" t="s">
        <v>1748</v>
      </c>
      <c r="C124" s="158" t="s">
        <v>1747</v>
      </c>
      <c r="D124" s="202">
        <v>11.99326</v>
      </c>
      <c r="E124" s="61" t="s">
        <v>1493</v>
      </c>
    </row>
    <row r="125" spans="1:5" s="196" customFormat="1" ht="51">
      <c r="A125" s="61" t="s">
        <v>1746</v>
      </c>
      <c r="B125" s="83" t="s">
        <v>1745</v>
      </c>
      <c r="C125" s="158" t="s">
        <v>1744</v>
      </c>
      <c r="D125" s="202">
        <v>52.6</v>
      </c>
      <c r="E125" s="61" t="s">
        <v>1493</v>
      </c>
    </row>
    <row r="126" spans="1:5" s="196" customFormat="1" ht="25.5">
      <c r="A126" s="61" t="s">
        <v>1743</v>
      </c>
      <c r="B126" s="201" t="s">
        <v>1742</v>
      </c>
      <c r="C126" s="97" t="s">
        <v>1741</v>
      </c>
      <c r="D126" s="30">
        <v>29.9</v>
      </c>
      <c r="E126" s="97" t="s">
        <v>1489</v>
      </c>
    </row>
    <row r="127" spans="1:5" s="196" customFormat="1" ht="38.25">
      <c r="A127" s="61" t="s">
        <v>1740</v>
      </c>
      <c r="B127" s="203" t="s">
        <v>1739</v>
      </c>
      <c r="C127" s="158" t="s">
        <v>1738</v>
      </c>
      <c r="D127" s="202">
        <v>52.6</v>
      </c>
      <c r="E127" s="97" t="s">
        <v>1737</v>
      </c>
    </row>
    <row r="128" spans="1:5" s="196" customFormat="1" ht="25.5">
      <c r="A128" s="61" t="s">
        <v>1736</v>
      </c>
      <c r="B128" s="203" t="s">
        <v>1735</v>
      </c>
      <c r="C128" s="158" t="s">
        <v>1734</v>
      </c>
      <c r="D128" s="202">
        <v>34.852</v>
      </c>
      <c r="E128" s="97" t="s">
        <v>1733</v>
      </c>
    </row>
    <row r="129" spans="1:5" s="196" customFormat="1" ht="12.75">
      <c r="A129" s="61" t="s">
        <v>1732</v>
      </c>
      <c r="B129" s="201" t="s">
        <v>1731</v>
      </c>
      <c r="C129" s="97" t="s">
        <v>1730</v>
      </c>
      <c r="D129" s="30">
        <v>22.994</v>
      </c>
      <c r="E129" s="97" t="s">
        <v>1489</v>
      </c>
    </row>
    <row r="130" spans="1:5" s="196" customFormat="1" ht="38.25">
      <c r="A130" s="61" t="s">
        <v>1729</v>
      </c>
      <c r="B130" s="203" t="s">
        <v>1728</v>
      </c>
      <c r="C130" s="158" t="s">
        <v>1727</v>
      </c>
      <c r="D130" s="202">
        <v>29.916</v>
      </c>
      <c r="E130" s="97" t="s">
        <v>1726</v>
      </c>
    </row>
    <row r="131" spans="1:5" s="196" customFormat="1" ht="38.25">
      <c r="A131" s="61" t="s">
        <v>1723</v>
      </c>
      <c r="B131" s="201" t="s">
        <v>1722</v>
      </c>
      <c r="C131" s="97" t="s">
        <v>1725</v>
      </c>
      <c r="D131" s="30">
        <v>49.131</v>
      </c>
      <c r="E131" s="97" t="s">
        <v>1477</v>
      </c>
    </row>
    <row r="132" spans="1:5" s="196" customFormat="1" ht="38.25">
      <c r="A132" s="61" t="s">
        <v>1723</v>
      </c>
      <c r="B132" s="201" t="s">
        <v>1722</v>
      </c>
      <c r="C132" s="158" t="s">
        <v>1724</v>
      </c>
      <c r="D132" s="30">
        <v>8.43</v>
      </c>
      <c r="E132" s="97" t="s">
        <v>1638</v>
      </c>
    </row>
    <row r="133" spans="1:5" s="196" customFormat="1" ht="38.25">
      <c r="A133" s="61" t="s">
        <v>1723</v>
      </c>
      <c r="B133" s="201" t="s">
        <v>1722</v>
      </c>
      <c r="C133" s="205" t="s">
        <v>1721</v>
      </c>
      <c r="D133" s="30">
        <v>31.183</v>
      </c>
      <c r="E133" s="204" t="s">
        <v>1477</v>
      </c>
    </row>
    <row r="134" spans="1:5" s="196" customFormat="1" ht="38.25">
      <c r="A134" s="83" t="s">
        <v>1720</v>
      </c>
      <c r="B134" s="203" t="s">
        <v>1719</v>
      </c>
      <c r="C134" s="201" t="s">
        <v>1718</v>
      </c>
      <c r="D134" s="202">
        <v>30</v>
      </c>
      <c r="E134" s="97" t="s">
        <v>1717</v>
      </c>
    </row>
    <row r="135" spans="1:5" s="196" customFormat="1" ht="38.25">
      <c r="A135" s="61" t="s">
        <v>1716</v>
      </c>
      <c r="B135" s="203" t="s">
        <v>1715</v>
      </c>
      <c r="C135" s="158" t="s">
        <v>1714</v>
      </c>
      <c r="D135" s="202">
        <v>32</v>
      </c>
      <c r="E135" s="97" t="s">
        <v>1713</v>
      </c>
    </row>
    <row r="136" spans="1:5" s="196" customFormat="1" ht="38.25">
      <c r="A136" s="61" t="s">
        <v>1712</v>
      </c>
      <c r="B136" s="203" t="s">
        <v>1711</v>
      </c>
      <c r="C136" s="158" t="s">
        <v>1710</v>
      </c>
      <c r="D136" s="202">
        <v>38.448</v>
      </c>
      <c r="E136" s="97" t="s">
        <v>1709</v>
      </c>
    </row>
    <row r="137" spans="1:5" s="196" customFormat="1" ht="76.5">
      <c r="A137" s="61" t="s">
        <v>1707</v>
      </c>
      <c r="B137" s="201" t="s">
        <v>1706</v>
      </c>
      <c r="C137" s="97" t="s">
        <v>1708</v>
      </c>
      <c r="D137" s="30">
        <v>25.999</v>
      </c>
      <c r="E137" s="97" t="s">
        <v>1489</v>
      </c>
    </row>
    <row r="138" spans="1:5" s="196" customFormat="1" ht="76.5">
      <c r="A138" s="61" t="s">
        <v>1707</v>
      </c>
      <c r="B138" s="201" t="s">
        <v>1706</v>
      </c>
      <c r="C138" s="61" t="s">
        <v>1705</v>
      </c>
      <c r="D138" s="30">
        <v>58.547</v>
      </c>
      <c r="E138" s="97" t="s">
        <v>1704</v>
      </c>
    </row>
    <row r="139" spans="1:5" s="196" customFormat="1" ht="38.25">
      <c r="A139" s="61" t="s">
        <v>1703</v>
      </c>
      <c r="B139" s="83" t="s">
        <v>1702</v>
      </c>
      <c r="C139" s="97" t="s">
        <v>1701</v>
      </c>
      <c r="D139" s="30">
        <v>100</v>
      </c>
      <c r="E139" s="97" t="s">
        <v>1700</v>
      </c>
    </row>
    <row r="140" spans="1:5" s="196" customFormat="1" ht="25.5">
      <c r="A140" s="61" t="s">
        <v>1699</v>
      </c>
      <c r="B140" s="201" t="s">
        <v>1698</v>
      </c>
      <c r="C140" s="97" t="s">
        <v>1697</v>
      </c>
      <c r="D140" s="30">
        <v>153.622</v>
      </c>
      <c r="E140" s="97" t="s">
        <v>1696</v>
      </c>
    </row>
    <row r="141" spans="1:5" s="196" customFormat="1" ht="25.5">
      <c r="A141" s="61" t="s">
        <v>1695</v>
      </c>
      <c r="B141" s="201" t="s">
        <v>1694</v>
      </c>
      <c r="C141" s="97" t="s">
        <v>1474</v>
      </c>
      <c r="D141" s="30">
        <v>18.376</v>
      </c>
      <c r="E141" s="97" t="s">
        <v>1693</v>
      </c>
    </row>
    <row r="142" spans="1:5" s="196" customFormat="1" ht="25.5">
      <c r="A142" s="61" t="s">
        <v>1691</v>
      </c>
      <c r="B142" s="201" t="s">
        <v>1690</v>
      </c>
      <c r="C142" s="97" t="s">
        <v>1692</v>
      </c>
      <c r="D142" s="30">
        <v>94.759</v>
      </c>
      <c r="E142" s="97" t="s">
        <v>1688</v>
      </c>
    </row>
    <row r="143" spans="1:5" s="196" customFormat="1" ht="25.5">
      <c r="A143" s="61" t="s">
        <v>1691</v>
      </c>
      <c r="B143" s="201" t="s">
        <v>1690</v>
      </c>
      <c r="C143" s="97" t="s">
        <v>1689</v>
      </c>
      <c r="D143" s="30">
        <v>49.841</v>
      </c>
      <c r="E143" s="97" t="s">
        <v>1688</v>
      </c>
    </row>
    <row r="144" spans="1:5" s="196" customFormat="1" ht="25.5">
      <c r="A144" s="61" t="s">
        <v>1686</v>
      </c>
      <c r="B144" s="201" t="s">
        <v>1685</v>
      </c>
      <c r="C144" s="97" t="s">
        <v>1687</v>
      </c>
      <c r="D144" s="30">
        <v>12.9</v>
      </c>
      <c r="E144" s="97" t="s">
        <v>1358</v>
      </c>
    </row>
    <row r="145" spans="1:5" s="196" customFormat="1" ht="25.5">
      <c r="A145" s="61" t="s">
        <v>1686</v>
      </c>
      <c r="B145" s="201" t="s">
        <v>1685</v>
      </c>
      <c r="C145" s="97" t="s">
        <v>1684</v>
      </c>
      <c r="D145" s="30">
        <v>14.693</v>
      </c>
      <c r="E145" s="97" t="s">
        <v>1682</v>
      </c>
    </row>
    <row r="146" spans="1:5" s="196" customFormat="1" ht="25.5">
      <c r="A146" s="61" t="s">
        <v>1681</v>
      </c>
      <c r="B146" s="61" t="s">
        <v>1680</v>
      </c>
      <c r="C146" s="97" t="s">
        <v>1683</v>
      </c>
      <c r="D146" s="30">
        <v>2.052</v>
      </c>
      <c r="E146" s="97" t="s">
        <v>1682</v>
      </c>
    </row>
    <row r="147" spans="1:5" s="196" customFormat="1" ht="25.5">
      <c r="A147" s="61" t="s">
        <v>1681</v>
      </c>
      <c r="B147" s="61" t="s">
        <v>1680</v>
      </c>
      <c r="C147" s="97" t="s">
        <v>1679</v>
      </c>
      <c r="D147" s="30">
        <v>38.07</v>
      </c>
      <c r="E147" s="97" t="s">
        <v>1678</v>
      </c>
    </row>
    <row r="148" spans="1:5" s="196" customFormat="1" ht="25.5">
      <c r="A148" s="61" t="s">
        <v>1677</v>
      </c>
      <c r="B148" s="201" t="s">
        <v>1676</v>
      </c>
      <c r="C148" s="97" t="s">
        <v>1675</v>
      </c>
      <c r="D148" s="30">
        <v>2.74</v>
      </c>
      <c r="E148" s="97" t="s">
        <v>1674</v>
      </c>
    </row>
    <row r="149" spans="1:5" s="196" customFormat="1" ht="38.25">
      <c r="A149" s="61" t="s">
        <v>1673</v>
      </c>
      <c r="B149" s="201" t="s">
        <v>1672</v>
      </c>
      <c r="C149" s="97" t="s">
        <v>1671</v>
      </c>
      <c r="D149" s="30">
        <v>120</v>
      </c>
      <c r="E149" s="97" t="s">
        <v>1670</v>
      </c>
    </row>
    <row r="150" spans="1:5" s="196" customFormat="1" ht="38.25">
      <c r="A150" s="61" t="s">
        <v>1669</v>
      </c>
      <c r="B150" s="83" t="s">
        <v>1668</v>
      </c>
      <c r="C150" s="97" t="s">
        <v>1667</v>
      </c>
      <c r="D150" s="30">
        <v>19.9884</v>
      </c>
      <c r="E150" s="97" t="s">
        <v>1501</v>
      </c>
    </row>
    <row r="151" spans="1:5" s="196" customFormat="1" ht="38.25">
      <c r="A151" s="61" t="s">
        <v>1666</v>
      </c>
      <c r="B151" s="83" t="s">
        <v>1665</v>
      </c>
      <c r="C151" s="97" t="s">
        <v>1664</v>
      </c>
      <c r="D151" s="30">
        <f>47.7486+111.4134</f>
        <v>159.162</v>
      </c>
      <c r="E151" s="97" t="s">
        <v>1501</v>
      </c>
    </row>
    <row r="152" spans="1:5" s="196" customFormat="1" ht="38.25">
      <c r="A152" s="61" t="s">
        <v>1663</v>
      </c>
      <c r="B152" s="83" t="s">
        <v>1662</v>
      </c>
      <c r="C152" s="97" t="s">
        <v>1661</v>
      </c>
      <c r="D152" s="30">
        <v>10.999</v>
      </c>
      <c r="E152" s="97" t="s">
        <v>1493</v>
      </c>
    </row>
    <row r="153" spans="1:5" s="196" customFormat="1" ht="51">
      <c r="A153" s="83" t="s">
        <v>1660</v>
      </c>
      <c r="B153" s="83" t="s">
        <v>1337</v>
      </c>
      <c r="C153" s="97" t="s">
        <v>1659</v>
      </c>
      <c r="D153" s="30">
        <f>62.07972+9.91736</f>
        <v>71.99708</v>
      </c>
      <c r="E153" s="61" t="s">
        <v>1497</v>
      </c>
    </row>
    <row r="154" spans="1:5" s="196" customFormat="1" ht="51">
      <c r="A154" s="61" t="s">
        <v>1658</v>
      </c>
      <c r="B154" s="83" t="s">
        <v>1657</v>
      </c>
      <c r="C154" s="97" t="s">
        <v>1656</v>
      </c>
      <c r="D154" s="30">
        <v>198.98954</v>
      </c>
      <c r="E154" s="97" t="s">
        <v>1489</v>
      </c>
    </row>
    <row r="155" spans="1:5" s="196" customFormat="1" ht="38.25">
      <c r="A155" s="83" t="s">
        <v>1654</v>
      </c>
      <c r="B155" s="83" t="s">
        <v>1653</v>
      </c>
      <c r="C155" s="97" t="s">
        <v>1655</v>
      </c>
      <c r="D155" s="30">
        <v>50.68398</v>
      </c>
      <c r="E155" s="97" t="s">
        <v>1651</v>
      </c>
    </row>
    <row r="156" spans="1:5" s="196" customFormat="1" ht="38.25">
      <c r="A156" s="83" t="s">
        <v>1654</v>
      </c>
      <c r="B156" s="83" t="s">
        <v>1653</v>
      </c>
      <c r="C156" s="97" t="s">
        <v>1652</v>
      </c>
      <c r="D156" s="30">
        <v>13.5412</v>
      </c>
      <c r="E156" s="97" t="s">
        <v>1651</v>
      </c>
    </row>
    <row r="157" spans="1:5" s="196" customFormat="1" ht="51">
      <c r="A157" s="83" t="s">
        <v>1650</v>
      </c>
      <c r="B157" s="83" t="s">
        <v>1603</v>
      </c>
      <c r="C157" s="97" t="s">
        <v>1649</v>
      </c>
      <c r="D157" s="30">
        <v>156.99</v>
      </c>
      <c r="E157" s="97" t="s">
        <v>1648</v>
      </c>
    </row>
    <row r="158" spans="1:5" s="196" customFormat="1" ht="51">
      <c r="A158" s="83" t="s">
        <v>1647</v>
      </c>
      <c r="B158" s="83" t="s">
        <v>1646</v>
      </c>
      <c r="C158" s="97" t="s">
        <v>1645</v>
      </c>
      <c r="D158" s="30">
        <v>19.998</v>
      </c>
      <c r="E158" s="97" t="s">
        <v>1358</v>
      </c>
    </row>
    <row r="159" spans="1:5" s="196" customFormat="1" ht="51">
      <c r="A159" s="83" t="s">
        <v>1644</v>
      </c>
      <c r="B159" s="83" t="s">
        <v>1643</v>
      </c>
      <c r="C159" s="97" t="s">
        <v>1642</v>
      </c>
      <c r="D159" s="30">
        <v>51.9016</v>
      </c>
      <c r="E159" s="97" t="s">
        <v>1641</v>
      </c>
    </row>
    <row r="160" spans="1:5" s="196" customFormat="1" ht="38.25">
      <c r="A160" s="61" t="s">
        <v>1612</v>
      </c>
      <c r="B160" s="83" t="s">
        <v>1611</v>
      </c>
      <c r="C160" s="97" t="s">
        <v>1640</v>
      </c>
      <c r="D160" s="30">
        <v>153.78652</v>
      </c>
      <c r="E160" s="97" t="s">
        <v>1489</v>
      </c>
    </row>
    <row r="161" spans="1:5" s="196" customFormat="1" ht="51">
      <c r="A161" s="83" t="s">
        <v>1597</v>
      </c>
      <c r="B161" s="83" t="s">
        <v>1596</v>
      </c>
      <c r="C161" s="97" t="s">
        <v>1639</v>
      </c>
      <c r="D161" s="30">
        <v>11.70631</v>
      </c>
      <c r="E161" s="97" t="s">
        <v>1638</v>
      </c>
    </row>
    <row r="162" spans="1:5" s="196" customFormat="1" ht="51">
      <c r="A162" s="83" t="s">
        <v>1594</v>
      </c>
      <c r="B162" s="83" t="s">
        <v>1593</v>
      </c>
      <c r="C162" s="97" t="s">
        <v>1637</v>
      </c>
      <c r="D162" s="30">
        <v>54.99192</v>
      </c>
      <c r="E162" s="97" t="s">
        <v>1489</v>
      </c>
    </row>
    <row r="163" spans="1:5" s="196" customFormat="1" ht="51">
      <c r="A163" s="61" t="s">
        <v>1636</v>
      </c>
      <c r="B163" s="83" t="s">
        <v>1629</v>
      </c>
      <c r="C163" s="97" t="s">
        <v>1635</v>
      </c>
      <c r="D163" s="30">
        <v>60.9204</v>
      </c>
      <c r="E163" s="97" t="s">
        <v>1501</v>
      </c>
    </row>
    <row r="164" spans="1:5" s="196" customFormat="1" ht="51">
      <c r="A164" s="61" t="s">
        <v>1634</v>
      </c>
      <c r="B164" s="83" t="s">
        <v>1633</v>
      </c>
      <c r="C164" s="97" t="s">
        <v>1632</v>
      </c>
      <c r="D164" s="30">
        <v>24.703</v>
      </c>
      <c r="E164" s="97" t="s">
        <v>1631</v>
      </c>
    </row>
    <row r="165" spans="1:5" s="196" customFormat="1" ht="51">
      <c r="A165" s="61" t="s">
        <v>1630</v>
      </c>
      <c r="B165" s="83" t="s">
        <v>1629</v>
      </c>
      <c r="C165" s="97" t="s">
        <v>1628</v>
      </c>
      <c r="D165" s="30">
        <v>120</v>
      </c>
      <c r="E165" s="97" t="s">
        <v>1605</v>
      </c>
    </row>
    <row r="166" spans="1:5" s="196" customFormat="1" ht="51">
      <c r="A166" s="83" t="s">
        <v>1627</v>
      </c>
      <c r="B166" s="83" t="s">
        <v>1626</v>
      </c>
      <c r="C166" s="97" t="s">
        <v>1625</v>
      </c>
      <c r="D166" s="30">
        <v>53.11245</v>
      </c>
      <c r="E166" s="97" t="s">
        <v>1489</v>
      </c>
    </row>
    <row r="167" spans="1:5" s="196" customFormat="1" ht="38.25">
      <c r="A167" s="83" t="s">
        <v>1624</v>
      </c>
      <c r="B167" s="83" t="s">
        <v>1623</v>
      </c>
      <c r="C167" s="97" t="s">
        <v>1622</v>
      </c>
      <c r="D167" s="30">
        <v>27.9192</v>
      </c>
      <c r="E167" s="97" t="s">
        <v>1540</v>
      </c>
    </row>
    <row r="168" spans="1:5" s="196" customFormat="1" ht="51">
      <c r="A168" s="61" t="s">
        <v>1621</v>
      </c>
      <c r="B168" s="83" t="s">
        <v>1620</v>
      </c>
      <c r="C168" s="97" t="s">
        <v>1619</v>
      </c>
      <c r="D168" s="30">
        <v>23.3376</v>
      </c>
      <c r="E168" s="97" t="s">
        <v>1540</v>
      </c>
    </row>
    <row r="169" spans="1:5" s="196" customFormat="1" ht="51">
      <c r="A169" s="61" t="s">
        <v>1618</v>
      </c>
      <c r="B169" s="83" t="s">
        <v>1617</v>
      </c>
      <c r="C169" s="97" t="s">
        <v>1616</v>
      </c>
      <c r="D169" s="30">
        <v>33</v>
      </c>
      <c r="E169" s="97" t="s">
        <v>1358</v>
      </c>
    </row>
    <row r="170" spans="1:5" s="196" customFormat="1" ht="51">
      <c r="A170" s="83" t="s">
        <v>1615</v>
      </c>
      <c r="B170" s="83" t="s">
        <v>1614</v>
      </c>
      <c r="C170" s="97" t="s">
        <v>1613</v>
      </c>
      <c r="D170" s="30">
        <v>17.80355</v>
      </c>
      <c r="E170" s="97" t="s">
        <v>1489</v>
      </c>
    </row>
    <row r="171" spans="1:5" s="196" customFormat="1" ht="38.25">
      <c r="A171" s="61" t="s">
        <v>1612</v>
      </c>
      <c r="B171" s="83" t="s">
        <v>1611</v>
      </c>
      <c r="C171" s="97" t="s">
        <v>1610</v>
      </c>
      <c r="D171" s="30">
        <v>15.99749</v>
      </c>
      <c r="E171" s="97" t="s">
        <v>1489</v>
      </c>
    </row>
    <row r="172" spans="1:5" s="196" customFormat="1" ht="51">
      <c r="A172" s="83" t="s">
        <v>1594</v>
      </c>
      <c r="B172" s="83" t="s">
        <v>1593</v>
      </c>
      <c r="C172" s="97" t="s">
        <v>1609</v>
      </c>
      <c r="D172" s="30">
        <v>21.224</v>
      </c>
      <c r="E172" s="97" t="s">
        <v>1412</v>
      </c>
    </row>
    <row r="173" spans="1:5" s="196" customFormat="1" ht="51">
      <c r="A173" s="83" t="s">
        <v>1608</v>
      </c>
      <c r="B173" s="201" t="s">
        <v>1607</v>
      </c>
      <c r="C173" s="97" t="s">
        <v>1606</v>
      </c>
      <c r="D173" s="30">
        <v>190</v>
      </c>
      <c r="E173" s="97" t="s">
        <v>1605</v>
      </c>
    </row>
    <row r="174" spans="1:5" s="196" customFormat="1" ht="51">
      <c r="A174" s="83" t="s">
        <v>1604</v>
      </c>
      <c r="B174" s="83" t="s">
        <v>1603</v>
      </c>
      <c r="C174" s="97" t="s">
        <v>1602</v>
      </c>
      <c r="D174" s="30">
        <v>10.21148</v>
      </c>
      <c r="E174" s="97" t="s">
        <v>1601</v>
      </c>
    </row>
    <row r="175" spans="1:5" s="196" customFormat="1" ht="51">
      <c r="A175" s="61" t="s">
        <v>1600</v>
      </c>
      <c r="B175" s="83" t="s">
        <v>1587</v>
      </c>
      <c r="C175" s="97" t="s">
        <v>1599</v>
      </c>
      <c r="D175" s="30">
        <v>11.29963</v>
      </c>
      <c r="E175" s="97" t="s">
        <v>1598</v>
      </c>
    </row>
    <row r="176" spans="1:5" s="196" customFormat="1" ht="51">
      <c r="A176" s="83" t="s">
        <v>1597</v>
      </c>
      <c r="B176" s="83" t="s">
        <v>1596</v>
      </c>
      <c r="C176" s="97" t="s">
        <v>1595</v>
      </c>
      <c r="D176" s="30">
        <v>11.96034</v>
      </c>
      <c r="E176" s="97" t="s">
        <v>1493</v>
      </c>
    </row>
    <row r="177" spans="1:5" s="196" customFormat="1" ht="51">
      <c r="A177" s="83" t="s">
        <v>1594</v>
      </c>
      <c r="B177" s="83" t="s">
        <v>1593</v>
      </c>
      <c r="C177" s="97" t="s">
        <v>1592</v>
      </c>
      <c r="D177" s="30">
        <v>31.9344</v>
      </c>
      <c r="E177" s="97" t="s">
        <v>1501</v>
      </c>
    </row>
    <row r="178" spans="1:5" s="196" customFormat="1" ht="51">
      <c r="A178" s="61" t="s">
        <v>1591</v>
      </c>
      <c r="B178" s="83" t="s">
        <v>1590</v>
      </c>
      <c r="C178" s="97" t="s">
        <v>1589</v>
      </c>
      <c r="D178" s="30">
        <v>11.9</v>
      </c>
      <c r="E178" s="97" t="s">
        <v>1529</v>
      </c>
    </row>
    <row r="179" spans="1:5" s="196" customFormat="1" ht="51">
      <c r="A179" s="61" t="s">
        <v>1588</v>
      </c>
      <c r="B179" s="83" t="s">
        <v>1587</v>
      </c>
      <c r="C179" s="97" t="s">
        <v>1586</v>
      </c>
      <c r="D179" s="30">
        <v>52.90739</v>
      </c>
      <c r="E179" s="97" t="s">
        <v>1582</v>
      </c>
    </row>
    <row r="180" spans="1:5" s="196" customFormat="1" ht="51">
      <c r="A180" s="61" t="s">
        <v>1585</v>
      </c>
      <c r="B180" s="83" t="s">
        <v>1584</v>
      </c>
      <c r="C180" s="97" t="s">
        <v>1583</v>
      </c>
      <c r="D180" s="30">
        <v>62.73914</v>
      </c>
      <c r="E180" s="97" t="s">
        <v>1582</v>
      </c>
    </row>
    <row r="181" spans="1:5" s="196" customFormat="1" ht="51">
      <c r="A181" s="61" t="s">
        <v>1581</v>
      </c>
      <c r="B181" s="83" t="s">
        <v>1580</v>
      </c>
      <c r="C181" s="97" t="s">
        <v>1579</v>
      </c>
      <c r="D181" s="30">
        <f>23.99415+15.30086</f>
        <v>39.295010000000005</v>
      </c>
      <c r="E181" s="97" t="s">
        <v>1489</v>
      </c>
    </row>
    <row r="182" spans="1:5" s="196" customFormat="1" ht="51">
      <c r="A182" s="83" t="s">
        <v>1578</v>
      </c>
      <c r="B182" s="83" t="s">
        <v>1577</v>
      </c>
      <c r="C182" s="97" t="s">
        <v>1576</v>
      </c>
      <c r="D182" s="30">
        <v>88.91543</v>
      </c>
      <c r="E182" s="97" t="s">
        <v>1518</v>
      </c>
    </row>
    <row r="183" spans="1:5" s="196" customFormat="1" ht="38.25">
      <c r="A183" s="61" t="s">
        <v>1575</v>
      </c>
      <c r="B183" s="83" t="s">
        <v>1574</v>
      </c>
      <c r="C183" s="97" t="s">
        <v>1573</v>
      </c>
      <c r="D183" s="30">
        <v>19.979</v>
      </c>
      <c r="E183" s="97" t="s">
        <v>1493</v>
      </c>
    </row>
    <row r="184" spans="1:5" s="196" customFormat="1" ht="38.25">
      <c r="A184" s="61" t="s">
        <v>1572</v>
      </c>
      <c r="B184" s="83" t="s">
        <v>1571</v>
      </c>
      <c r="C184" s="97" t="s">
        <v>1570</v>
      </c>
      <c r="D184" s="30">
        <v>38.804</v>
      </c>
      <c r="E184" s="97" t="s">
        <v>1493</v>
      </c>
    </row>
    <row r="185" spans="1:5" s="196" customFormat="1" ht="38.25">
      <c r="A185" s="61" t="s">
        <v>1569</v>
      </c>
      <c r="B185" s="83" t="s">
        <v>1568</v>
      </c>
      <c r="C185" s="97" t="s">
        <v>1567</v>
      </c>
      <c r="D185" s="30">
        <v>13</v>
      </c>
      <c r="E185" s="97" t="s">
        <v>1493</v>
      </c>
    </row>
    <row r="186" spans="1:5" s="196" customFormat="1" ht="38.25">
      <c r="A186" s="61" t="s">
        <v>1566</v>
      </c>
      <c r="B186" s="83" t="s">
        <v>1565</v>
      </c>
      <c r="C186" s="61" t="s">
        <v>1564</v>
      </c>
      <c r="D186" s="30">
        <v>12.048</v>
      </c>
      <c r="E186" s="97" t="s">
        <v>1563</v>
      </c>
    </row>
    <row r="187" spans="1:5" s="196" customFormat="1" ht="38.25">
      <c r="A187" s="61" t="s">
        <v>1514</v>
      </c>
      <c r="B187" s="83" t="s">
        <v>1513</v>
      </c>
      <c r="C187" s="97" t="s">
        <v>1562</v>
      </c>
      <c r="D187" s="30">
        <f>35.0436+34.9836</f>
        <v>70.0272</v>
      </c>
      <c r="E187" s="97" t="s">
        <v>1501</v>
      </c>
    </row>
    <row r="188" spans="1:5" s="196" customFormat="1" ht="38.25">
      <c r="A188" s="61" t="s">
        <v>1561</v>
      </c>
      <c r="B188" s="83" t="s">
        <v>1560</v>
      </c>
      <c r="C188" s="97" t="s">
        <v>1559</v>
      </c>
      <c r="D188" s="30">
        <v>38.804</v>
      </c>
      <c r="E188" s="97" t="s">
        <v>1493</v>
      </c>
    </row>
    <row r="189" spans="1:5" s="196" customFormat="1" ht="38.25">
      <c r="A189" s="61" t="s">
        <v>1558</v>
      </c>
      <c r="B189" s="83" t="s">
        <v>1557</v>
      </c>
      <c r="C189" s="97" t="s">
        <v>1556</v>
      </c>
      <c r="D189" s="30">
        <v>11.915</v>
      </c>
      <c r="E189" s="97" t="s">
        <v>1493</v>
      </c>
    </row>
    <row r="190" spans="1:5" s="196" customFormat="1" ht="38.25">
      <c r="A190" s="61" t="s">
        <v>1555</v>
      </c>
      <c r="B190" s="83" t="s">
        <v>1554</v>
      </c>
      <c r="C190" s="61" t="s">
        <v>1553</v>
      </c>
      <c r="D190" s="30">
        <v>19.272</v>
      </c>
      <c r="E190" s="97" t="s">
        <v>1540</v>
      </c>
    </row>
    <row r="191" spans="1:5" s="196" customFormat="1" ht="38.25">
      <c r="A191" s="61" t="s">
        <v>1552</v>
      </c>
      <c r="B191" s="83" t="s">
        <v>1551</v>
      </c>
      <c r="C191" s="61" t="s">
        <v>1550</v>
      </c>
      <c r="D191" s="30">
        <v>21.4476</v>
      </c>
      <c r="E191" s="97" t="s">
        <v>1540</v>
      </c>
    </row>
    <row r="192" spans="1:5" s="196" customFormat="1" ht="38.25">
      <c r="A192" s="61" t="s">
        <v>1549</v>
      </c>
      <c r="B192" s="61" t="s">
        <v>1548</v>
      </c>
      <c r="C192" s="97" t="s">
        <v>1547</v>
      </c>
      <c r="D192" s="30">
        <v>62.1</v>
      </c>
      <c r="E192" s="97" t="s">
        <v>1358</v>
      </c>
    </row>
    <row r="193" spans="1:5" s="196" customFormat="1" ht="38.25">
      <c r="A193" s="61" t="s">
        <v>1546</v>
      </c>
      <c r="B193" s="83" t="s">
        <v>1545</v>
      </c>
      <c r="C193" s="61" t="s">
        <v>1544</v>
      </c>
      <c r="D193" s="30">
        <v>14.98373</v>
      </c>
      <c r="E193" s="97" t="s">
        <v>1489</v>
      </c>
    </row>
    <row r="194" spans="1:5" s="196" customFormat="1" ht="51">
      <c r="A194" s="61" t="s">
        <v>1543</v>
      </c>
      <c r="B194" s="83" t="s">
        <v>1542</v>
      </c>
      <c r="C194" s="61" t="s">
        <v>1541</v>
      </c>
      <c r="D194" s="30">
        <v>34.44034</v>
      </c>
      <c r="E194" s="97" t="s">
        <v>1540</v>
      </c>
    </row>
    <row r="195" spans="1:5" s="196" customFormat="1" ht="51">
      <c r="A195" s="61" t="s">
        <v>1539</v>
      </c>
      <c r="B195" s="83" t="s">
        <v>1538</v>
      </c>
      <c r="C195" s="61" t="s">
        <v>1537</v>
      </c>
      <c r="D195" s="30">
        <v>12.5976</v>
      </c>
      <c r="E195" s="97" t="s">
        <v>1536</v>
      </c>
    </row>
    <row r="196" spans="1:5" s="196" customFormat="1" ht="38.25">
      <c r="A196" s="61" t="s">
        <v>1535</v>
      </c>
      <c r="B196" s="83" t="s">
        <v>1534</v>
      </c>
      <c r="C196" s="97" t="s">
        <v>1533</v>
      </c>
      <c r="D196" s="30">
        <v>24.99939</v>
      </c>
      <c r="E196" s="61" t="s">
        <v>1489</v>
      </c>
    </row>
    <row r="197" spans="1:5" s="196" customFormat="1" ht="38.25">
      <c r="A197" s="61" t="s">
        <v>1532</v>
      </c>
      <c r="B197" s="61" t="s">
        <v>1531</v>
      </c>
      <c r="C197" s="61" t="s">
        <v>1530</v>
      </c>
      <c r="D197" s="30">
        <v>11.9</v>
      </c>
      <c r="E197" s="97" t="s">
        <v>1529</v>
      </c>
    </row>
    <row r="198" spans="1:5" s="196" customFormat="1" ht="38.25">
      <c r="A198" s="61" t="s">
        <v>1528</v>
      </c>
      <c r="B198" s="83" t="s">
        <v>1527</v>
      </c>
      <c r="C198" s="97" t="s">
        <v>1526</v>
      </c>
      <c r="D198" s="30">
        <v>22.951</v>
      </c>
      <c r="E198" s="97" t="s">
        <v>1493</v>
      </c>
    </row>
    <row r="199" spans="1:5" s="196" customFormat="1" ht="38.25">
      <c r="A199" s="61" t="s">
        <v>1524</v>
      </c>
      <c r="B199" s="83" t="s">
        <v>1523</v>
      </c>
      <c r="C199" s="97" t="s">
        <v>1525</v>
      </c>
      <c r="D199" s="30">
        <v>74.9976</v>
      </c>
      <c r="E199" s="97" t="s">
        <v>1501</v>
      </c>
    </row>
    <row r="200" spans="1:5" s="196" customFormat="1" ht="38.25">
      <c r="A200" s="61" t="s">
        <v>1524</v>
      </c>
      <c r="B200" s="83" t="s">
        <v>1523</v>
      </c>
      <c r="C200" s="97" t="s">
        <v>1522</v>
      </c>
      <c r="D200" s="30">
        <v>31.9788</v>
      </c>
      <c r="E200" s="97" t="s">
        <v>1501</v>
      </c>
    </row>
    <row r="201" spans="1:5" s="196" customFormat="1" ht="51">
      <c r="A201" s="61" t="s">
        <v>1521</v>
      </c>
      <c r="B201" s="83" t="s">
        <v>1520</v>
      </c>
      <c r="C201" s="97" t="s">
        <v>1519</v>
      </c>
      <c r="D201" s="30">
        <v>37.87102</v>
      </c>
      <c r="E201" s="97" t="s">
        <v>1518</v>
      </c>
    </row>
    <row r="202" spans="1:5" s="196" customFormat="1" ht="38.25">
      <c r="A202" s="61" t="s">
        <v>1517</v>
      </c>
      <c r="B202" s="83" t="s">
        <v>1516</v>
      </c>
      <c r="C202" s="158" t="s">
        <v>1515</v>
      </c>
      <c r="D202" s="30">
        <v>64.98158</v>
      </c>
      <c r="E202" s="97" t="s">
        <v>1489</v>
      </c>
    </row>
    <row r="203" spans="1:5" s="196" customFormat="1" ht="38.25">
      <c r="A203" s="61" t="s">
        <v>1514</v>
      </c>
      <c r="B203" s="83" t="s">
        <v>1513</v>
      </c>
      <c r="C203" s="61" t="s">
        <v>1512</v>
      </c>
      <c r="D203" s="30">
        <v>15</v>
      </c>
      <c r="E203" s="97" t="s">
        <v>1493</v>
      </c>
    </row>
    <row r="204" spans="1:5" s="196" customFormat="1" ht="76.5">
      <c r="A204" s="61" t="s">
        <v>1496</v>
      </c>
      <c r="B204" s="83" t="s">
        <v>1495</v>
      </c>
      <c r="C204" s="97" t="s">
        <v>1511</v>
      </c>
      <c r="D204" s="30">
        <v>138.8191</v>
      </c>
      <c r="E204" s="97" t="s">
        <v>1469</v>
      </c>
    </row>
    <row r="205" spans="1:5" s="196" customFormat="1" ht="25.5">
      <c r="A205" s="61" t="s">
        <v>1510</v>
      </c>
      <c r="B205" s="83" t="s">
        <v>1509</v>
      </c>
      <c r="C205" s="97" t="s">
        <v>1508</v>
      </c>
      <c r="D205" s="30">
        <v>11.984</v>
      </c>
      <c r="E205" s="97" t="s">
        <v>1493</v>
      </c>
    </row>
    <row r="206" spans="1:5" s="196" customFormat="1" ht="38.25">
      <c r="A206" s="61" t="s">
        <v>1507</v>
      </c>
      <c r="B206" s="83" t="s">
        <v>1506</v>
      </c>
      <c r="C206" s="97" t="s">
        <v>1505</v>
      </c>
      <c r="D206" s="30">
        <v>12.71177</v>
      </c>
      <c r="E206" s="97" t="s">
        <v>1489</v>
      </c>
    </row>
    <row r="207" spans="1:5" s="196" customFormat="1" ht="25.5">
      <c r="A207" s="61" t="s">
        <v>1504</v>
      </c>
      <c r="B207" s="83" t="s">
        <v>1503</v>
      </c>
      <c r="C207" s="97" t="s">
        <v>1502</v>
      </c>
      <c r="D207" s="30">
        <v>19.9932</v>
      </c>
      <c r="E207" s="97" t="s">
        <v>1501</v>
      </c>
    </row>
    <row r="208" spans="1:5" s="196" customFormat="1" ht="38.25">
      <c r="A208" s="83" t="s">
        <v>1500</v>
      </c>
      <c r="B208" s="83" t="s">
        <v>1499</v>
      </c>
      <c r="C208" s="97" t="s">
        <v>1498</v>
      </c>
      <c r="D208" s="30">
        <v>47.24164</v>
      </c>
      <c r="E208" s="97" t="s">
        <v>1497</v>
      </c>
    </row>
    <row r="209" spans="1:5" s="196" customFormat="1" ht="76.5">
      <c r="A209" s="61" t="s">
        <v>1496</v>
      </c>
      <c r="B209" s="83" t="s">
        <v>1495</v>
      </c>
      <c r="C209" s="97" t="s">
        <v>1494</v>
      </c>
      <c r="D209" s="30">
        <v>25.999</v>
      </c>
      <c r="E209" s="97" t="s">
        <v>1493</v>
      </c>
    </row>
    <row r="210" spans="1:5" s="196" customFormat="1" ht="51">
      <c r="A210" s="61" t="s">
        <v>1492</v>
      </c>
      <c r="B210" s="201" t="s">
        <v>1491</v>
      </c>
      <c r="C210" s="97" t="s">
        <v>1490</v>
      </c>
      <c r="D210" s="30">
        <v>13.99849</v>
      </c>
      <c r="E210" s="97" t="s">
        <v>1489</v>
      </c>
    </row>
    <row r="211" spans="1:5" s="196" customFormat="1" ht="25.5">
      <c r="A211" s="61" t="s">
        <v>1480</v>
      </c>
      <c r="B211" s="61" t="s">
        <v>1479</v>
      </c>
      <c r="C211" s="61" t="s">
        <v>1488</v>
      </c>
      <c r="D211" s="30">
        <v>16.39</v>
      </c>
      <c r="E211" s="97" t="s">
        <v>1487</v>
      </c>
    </row>
    <row r="212" spans="1:5" s="196" customFormat="1" ht="12.75">
      <c r="A212" s="61" t="s">
        <v>1484</v>
      </c>
      <c r="B212" s="61" t="s">
        <v>1483</v>
      </c>
      <c r="C212" s="61" t="s">
        <v>1486</v>
      </c>
      <c r="D212" s="30">
        <v>84.494</v>
      </c>
      <c r="E212" s="97" t="s">
        <v>1485</v>
      </c>
    </row>
    <row r="213" spans="1:5" s="196" customFormat="1" ht="25.5">
      <c r="A213" s="61" t="s">
        <v>1484</v>
      </c>
      <c r="B213" s="61" t="s">
        <v>1483</v>
      </c>
      <c r="C213" s="61" t="s">
        <v>1482</v>
      </c>
      <c r="D213" s="30">
        <v>28.182</v>
      </c>
      <c r="E213" s="97" t="s">
        <v>1481</v>
      </c>
    </row>
    <row r="214" spans="1:5" s="196" customFormat="1" ht="25.5">
      <c r="A214" s="61" t="s">
        <v>1480</v>
      </c>
      <c r="B214" s="61" t="s">
        <v>1479</v>
      </c>
      <c r="C214" s="97" t="s">
        <v>1478</v>
      </c>
      <c r="D214" s="30">
        <v>131.99</v>
      </c>
      <c r="E214" s="97" t="s">
        <v>1477</v>
      </c>
    </row>
    <row r="215" spans="1:5" s="196" customFormat="1" ht="12.75">
      <c r="A215" s="61" t="s">
        <v>1476</v>
      </c>
      <c r="B215" s="61" t="s">
        <v>1475</v>
      </c>
      <c r="C215" s="61" t="s">
        <v>1474</v>
      </c>
      <c r="D215" s="30">
        <v>199</v>
      </c>
      <c r="E215" s="97" t="s">
        <v>1473</v>
      </c>
    </row>
    <row r="216" spans="1:5" s="196" customFormat="1" ht="63.75">
      <c r="A216" s="61" t="s">
        <v>1472</v>
      </c>
      <c r="B216" s="61" t="s">
        <v>1471</v>
      </c>
      <c r="C216" s="97" t="s">
        <v>1470</v>
      </c>
      <c r="D216" s="30">
        <v>199</v>
      </c>
      <c r="E216" s="97" t="s">
        <v>1469</v>
      </c>
    </row>
    <row r="217" spans="1:5" s="196" customFormat="1" ht="15">
      <c r="A217" s="200"/>
      <c r="B217" s="197" t="s">
        <v>1</v>
      </c>
      <c r="C217" s="199" t="s">
        <v>0</v>
      </c>
      <c r="D217" s="198">
        <f>SUM(D21:D216)</f>
        <v>9203.03861</v>
      </c>
      <c r="E217" s="197" t="s">
        <v>0</v>
      </c>
    </row>
    <row r="218" spans="1:5" ht="15">
      <c r="A218" s="195" t="s">
        <v>1468</v>
      </c>
      <c r="B218" s="195"/>
      <c r="C218" s="195"/>
      <c r="D218" s="195"/>
      <c r="E218" s="195"/>
    </row>
    <row r="219" spans="1:5" ht="38.25">
      <c r="A219" s="29" t="s">
        <v>1467</v>
      </c>
      <c r="B219" s="29" t="s">
        <v>1466</v>
      </c>
      <c r="C219" s="33" t="s">
        <v>552</v>
      </c>
      <c r="D219" s="29">
        <v>24.205</v>
      </c>
      <c r="E219" s="33" t="s">
        <v>1465</v>
      </c>
    </row>
    <row r="220" spans="1:5" ht="38.25">
      <c r="A220" s="61" t="s">
        <v>1464</v>
      </c>
      <c r="B220" s="29" t="s">
        <v>1463</v>
      </c>
      <c r="C220" s="33" t="s">
        <v>552</v>
      </c>
      <c r="D220" s="33">
        <v>49.95</v>
      </c>
      <c r="E220" s="33" t="s">
        <v>1462</v>
      </c>
    </row>
    <row r="221" spans="1:5" ht="15">
      <c r="A221" s="100"/>
      <c r="B221" s="100" t="s">
        <v>1</v>
      </c>
      <c r="C221" s="117" t="s">
        <v>0</v>
      </c>
      <c r="D221" s="117">
        <f>SUM(D219:D220)</f>
        <v>74.155</v>
      </c>
      <c r="E221" s="117" t="s">
        <v>0</v>
      </c>
    </row>
    <row r="222" spans="1:5" ht="15">
      <c r="A222" s="194" t="s">
        <v>1461</v>
      </c>
      <c r="B222" s="193"/>
      <c r="C222" s="193"/>
      <c r="D222" s="193"/>
      <c r="E222" s="192"/>
    </row>
    <row r="223" spans="1:6" s="177" customFormat="1" ht="38.25">
      <c r="A223" s="56" t="s">
        <v>1460</v>
      </c>
      <c r="B223" s="112" t="s">
        <v>1459</v>
      </c>
      <c r="C223" s="190" t="s">
        <v>1458</v>
      </c>
      <c r="D223" s="72">
        <v>35.519</v>
      </c>
      <c r="E223" s="191" t="s">
        <v>1450</v>
      </c>
      <c r="F223" s="178"/>
    </row>
    <row r="224" spans="1:6" s="177" customFormat="1" ht="25.5">
      <c r="A224" s="56" t="s">
        <v>1453</v>
      </c>
      <c r="B224" s="112" t="s">
        <v>1452</v>
      </c>
      <c r="C224" s="190" t="s">
        <v>1457</v>
      </c>
      <c r="D224" s="72">
        <v>98.917</v>
      </c>
      <c r="E224" s="191" t="s">
        <v>1450</v>
      </c>
      <c r="F224" s="178"/>
    </row>
    <row r="225" spans="1:6" s="177" customFormat="1" ht="25.5">
      <c r="A225" s="56" t="s">
        <v>1456</v>
      </c>
      <c r="B225" s="112" t="s">
        <v>1455</v>
      </c>
      <c r="C225" s="190" t="s">
        <v>1454</v>
      </c>
      <c r="D225" s="72">
        <v>80.149</v>
      </c>
      <c r="E225" s="191" t="s">
        <v>1450</v>
      </c>
      <c r="F225" s="178"/>
    </row>
    <row r="226" spans="1:6" s="177" customFormat="1" ht="38.25">
      <c r="A226" s="56" t="s">
        <v>1453</v>
      </c>
      <c r="B226" s="112" t="s">
        <v>1452</v>
      </c>
      <c r="C226" s="190" t="s">
        <v>1451</v>
      </c>
      <c r="D226" s="72">
        <v>72.622</v>
      </c>
      <c r="E226" s="191" t="s">
        <v>1450</v>
      </c>
      <c r="F226" s="178"/>
    </row>
    <row r="227" spans="1:6" s="177" customFormat="1" ht="15.75">
      <c r="A227" s="56"/>
      <c r="B227" s="112" t="s">
        <v>1449</v>
      </c>
      <c r="C227" s="190"/>
      <c r="D227" s="55">
        <f>SUM(D223:D226)</f>
        <v>287.207</v>
      </c>
      <c r="E227" s="189"/>
      <c r="F227" s="178"/>
    </row>
    <row r="228" spans="1:6" s="177" customFormat="1" ht="15.75">
      <c r="A228" s="88" t="s">
        <v>1448</v>
      </c>
      <c r="B228" s="188"/>
      <c r="C228" s="188"/>
      <c r="D228" s="188"/>
      <c r="E228" s="87"/>
      <c r="F228" s="178"/>
    </row>
    <row r="229" spans="1:5" ht="42" customHeight="1">
      <c r="A229" s="56" t="s">
        <v>1447</v>
      </c>
      <c r="B229" s="56" t="s">
        <v>1446</v>
      </c>
      <c r="C229" s="54" t="s">
        <v>1445</v>
      </c>
      <c r="D229" s="72">
        <v>18.98756</v>
      </c>
      <c r="E229" s="54" t="s">
        <v>1444</v>
      </c>
    </row>
    <row r="230" spans="1:5" ht="41.25" customHeight="1">
      <c r="A230" s="56" t="s">
        <v>1443</v>
      </c>
      <c r="B230" s="56" t="s">
        <v>1442</v>
      </c>
      <c r="C230" s="56" t="s">
        <v>1441</v>
      </c>
      <c r="D230" s="72">
        <v>52.06388</v>
      </c>
      <c r="E230" s="54" t="s">
        <v>1437</v>
      </c>
    </row>
    <row r="231" spans="1:5" ht="39.75" customHeight="1">
      <c r="A231" s="56" t="s">
        <v>1440</v>
      </c>
      <c r="B231" s="56" t="s">
        <v>1439</v>
      </c>
      <c r="C231" s="56" t="s">
        <v>1438</v>
      </c>
      <c r="D231" s="72">
        <v>149.6514</v>
      </c>
      <c r="E231" s="54" t="s">
        <v>1437</v>
      </c>
    </row>
    <row r="232" spans="1:6" s="177" customFormat="1" ht="15.75">
      <c r="A232" s="187"/>
      <c r="B232" s="186" t="s">
        <v>1436</v>
      </c>
      <c r="C232" s="185" t="s">
        <v>0</v>
      </c>
      <c r="D232" s="55">
        <f>SUM(D229:D231)</f>
        <v>220.70283999999998</v>
      </c>
      <c r="E232" s="184" t="s">
        <v>0</v>
      </c>
      <c r="F232" s="178"/>
    </row>
    <row r="233" spans="1:6" s="177" customFormat="1" ht="15.75">
      <c r="A233" s="183"/>
      <c r="B233" s="182" t="s">
        <v>1435</v>
      </c>
      <c r="C233" s="181" t="s">
        <v>0</v>
      </c>
      <c r="D233" s="180">
        <f>D232+D227</f>
        <v>507.90984</v>
      </c>
      <c r="E233" s="179" t="s">
        <v>0</v>
      </c>
      <c r="F233" s="178"/>
    </row>
    <row r="234" spans="1:5" s="2" customFormat="1" ht="15">
      <c r="A234" s="176" t="s">
        <v>1434</v>
      </c>
      <c r="B234" s="176"/>
      <c r="C234" s="176"/>
      <c r="D234" s="176"/>
      <c r="E234" s="176"/>
    </row>
    <row r="235" spans="1:5" s="171" customFormat="1" ht="51">
      <c r="A235" s="175" t="s">
        <v>1433</v>
      </c>
      <c r="B235" s="174" t="s">
        <v>1432</v>
      </c>
      <c r="C235" s="173" t="s">
        <v>1431</v>
      </c>
      <c r="D235" s="173">
        <v>199.9986</v>
      </c>
      <c r="E235" s="172" t="s">
        <v>1430</v>
      </c>
    </row>
    <row r="236" spans="1:5" s="151" customFormat="1" ht="14.25">
      <c r="A236" s="100"/>
      <c r="B236" s="100" t="s">
        <v>1</v>
      </c>
      <c r="C236" s="117" t="s">
        <v>0</v>
      </c>
      <c r="D236" s="117">
        <f>SUM(D235)</f>
        <v>199.9986</v>
      </c>
      <c r="E236" s="117" t="s">
        <v>0</v>
      </c>
    </row>
    <row r="237" spans="1:5" s="2" customFormat="1" ht="15">
      <c r="A237" s="170" t="s">
        <v>1429</v>
      </c>
      <c r="B237" s="170"/>
      <c r="C237" s="170"/>
      <c r="D237" s="170"/>
      <c r="E237" s="170"/>
    </row>
    <row r="238" spans="1:6" s="166" customFormat="1" ht="51">
      <c r="A238" s="127" t="s">
        <v>1428</v>
      </c>
      <c r="B238" s="127" t="s">
        <v>1424</v>
      </c>
      <c r="C238" s="127" t="s">
        <v>1427</v>
      </c>
      <c r="D238" s="168">
        <v>6.30374</v>
      </c>
      <c r="E238" s="127" t="s">
        <v>1422</v>
      </c>
      <c r="F238" s="167"/>
    </row>
    <row r="239" spans="1:6" s="166" customFormat="1" ht="51">
      <c r="A239" s="127" t="s">
        <v>1428</v>
      </c>
      <c r="B239" s="127" t="s">
        <v>1424</v>
      </c>
      <c r="C239" s="127" t="s">
        <v>1427</v>
      </c>
      <c r="D239" s="168">
        <v>30.7128</v>
      </c>
      <c r="E239" s="127" t="s">
        <v>1422</v>
      </c>
      <c r="F239" s="167"/>
    </row>
    <row r="240" spans="1:6" s="166" customFormat="1" ht="51">
      <c r="A240" s="127" t="s">
        <v>1428</v>
      </c>
      <c r="B240" s="127" t="s">
        <v>1424</v>
      </c>
      <c r="C240" s="127" t="s">
        <v>1423</v>
      </c>
      <c r="D240" s="168">
        <v>47.842</v>
      </c>
      <c r="E240" s="127" t="s">
        <v>1422</v>
      </c>
      <c r="F240" s="167"/>
    </row>
    <row r="241" spans="1:6" s="166" customFormat="1" ht="51">
      <c r="A241" s="127" t="s">
        <v>1428</v>
      </c>
      <c r="B241" s="127" t="s">
        <v>1424</v>
      </c>
      <c r="C241" s="127" t="s">
        <v>1423</v>
      </c>
      <c r="D241" s="168">
        <v>6.30374</v>
      </c>
      <c r="E241" s="127" t="s">
        <v>1422</v>
      </c>
      <c r="F241" s="167"/>
    </row>
    <row r="242" spans="1:6" s="166" customFormat="1" ht="51">
      <c r="A242" s="127" t="s">
        <v>1426</v>
      </c>
      <c r="B242" s="127" t="s">
        <v>1424</v>
      </c>
      <c r="C242" s="127" t="s">
        <v>1427</v>
      </c>
      <c r="D242" s="168">
        <v>6.30374</v>
      </c>
      <c r="E242" s="127" t="s">
        <v>1422</v>
      </c>
      <c r="F242" s="167"/>
    </row>
    <row r="243" spans="1:6" s="166" customFormat="1" ht="51">
      <c r="A243" s="127" t="s">
        <v>1426</v>
      </c>
      <c r="B243" s="127" t="s">
        <v>1424</v>
      </c>
      <c r="C243" s="127" t="s">
        <v>1423</v>
      </c>
      <c r="D243" s="168">
        <v>38.94616</v>
      </c>
      <c r="E243" s="127" t="s">
        <v>1422</v>
      </c>
      <c r="F243" s="167"/>
    </row>
    <row r="244" spans="1:6" s="166" customFormat="1" ht="51">
      <c r="A244" s="127" t="s">
        <v>1425</v>
      </c>
      <c r="B244" s="127" t="s">
        <v>1424</v>
      </c>
      <c r="C244" s="127" t="s">
        <v>1423</v>
      </c>
      <c r="D244" s="168">
        <v>6.304</v>
      </c>
      <c r="E244" s="127" t="s">
        <v>1422</v>
      </c>
      <c r="F244" s="167"/>
    </row>
    <row r="245" spans="1:6" s="166" customFormat="1" ht="25.5">
      <c r="A245" s="127" t="s">
        <v>1421</v>
      </c>
      <c r="B245" s="127" t="s">
        <v>1418</v>
      </c>
      <c r="C245" s="127" t="s">
        <v>1420</v>
      </c>
      <c r="D245" s="168">
        <v>97.46987</v>
      </c>
      <c r="E245" s="127" t="s">
        <v>1392</v>
      </c>
      <c r="F245" s="167"/>
    </row>
    <row r="246" spans="1:6" s="166" customFormat="1" ht="51">
      <c r="A246" s="127" t="s">
        <v>1419</v>
      </c>
      <c r="B246" s="127" t="s">
        <v>1418</v>
      </c>
      <c r="C246" s="127" t="s">
        <v>1417</v>
      </c>
      <c r="D246" s="168">
        <v>4</v>
      </c>
      <c r="E246" s="127" t="s">
        <v>1416</v>
      </c>
      <c r="F246" s="167"/>
    </row>
    <row r="247" spans="1:6" s="166" customFormat="1" ht="38.25">
      <c r="A247" s="127" t="s">
        <v>1415</v>
      </c>
      <c r="B247" s="127" t="s">
        <v>1404</v>
      </c>
      <c r="C247" s="127" t="s">
        <v>1414</v>
      </c>
      <c r="D247" s="168">
        <v>133.028</v>
      </c>
      <c r="E247" s="127" t="s">
        <v>1412</v>
      </c>
      <c r="F247" s="167"/>
    </row>
    <row r="248" spans="1:6" s="166" customFormat="1" ht="25.5">
      <c r="A248" s="127" t="s">
        <v>1405</v>
      </c>
      <c r="B248" s="127" t="s">
        <v>1404</v>
      </c>
      <c r="C248" s="127" t="s">
        <v>1413</v>
      </c>
      <c r="D248" s="168">
        <v>188.325</v>
      </c>
      <c r="E248" s="127" t="s">
        <v>1412</v>
      </c>
      <c r="F248" s="167"/>
    </row>
    <row r="249" spans="1:6" s="166" customFormat="1" ht="56.25" customHeight="1">
      <c r="A249" s="127" t="s">
        <v>1410</v>
      </c>
      <c r="B249" s="127" t="s">
        <v>1404</v>
      </c>
      <c r="C249" s="127" t="s">
        <v>1411</v>
      </c>
      <c r="D249" s="168">
        <v>39.78908</v>
      </c>
      <c r="E249" s="127" t="s">
        <v>1406</v>
      </c>
      <c r="F249" s="167"/>
    </row>
    <row r="250" spans="1:6" s="166" customFormat="1" ht="56.25" customHeight="1">
      <c r="A250" s="127" t="s">
        <v>1410</v>
      </c>
      <c r="B250" s="127" t="s">
        <v>1404</v>
      </c>
      <c r="C250" s="127" t="s">
        <v>1409</v>
      </c>
      <c r="D250" s="168">
        <v>162</v>
      </c>
      <c r="E250" s="127" t="s">
        <v>1406</v>
      </c>
      <c r="F250" s="167"/>
    </row>
    <row r="251" spans="1:6" s="166" customFormat="1" ht="56.25" customHeight="1">
      <c r="A251" s="127" t="s">
        <v>1408</v>
      </c>
      <c r="B251" s="127" t="s">
        <v>1404</v>
      </c>
      <c r="C251" s="127" t="s">
        <v>1407</v>
      </c>
      <c r="D251" s="168">
        <v>45.808</v>
      </c>
      <c r="E251" s="127" t="s">
        <v>1406</v>
      </c>
      <c r="F251" s="167"/>
    </row>
    <row r="252" spans="1:6" s="166" customFormat="1" ht="56.25" customHeight="1">
      <c r="A252" s="127" t="s">
        <v>1405</v>
      </c>
      <c r="B252" s="127" t="s">
        <v>1404</v>
      </c>
      <c r="C252" s="127" t="s">
        <v>1403</v>
      </c>
      <c r="D252" s="168">
        <v>37.585</v>
      </c>
      <c r="E252" s="127" t="s">
        <v>1402</v>
      </c>
      <c r="F252" s="167"/>
    </row>
    <row r="253" spans="1:6" s="166" customFormat="1" ht="51">
      <c r="A253" s="127" t="s">
        <v>1401</v>
      </c>
      <c r="B253" s="127" t="s">
        <v>1384</v>
      </c>
      <c r="C253" s="127" t="s">
        <v>1400</v>
      </c>
      <c r="D253" s="168">
        <v>4.5</v>
      </c>
      <c r="E253" s="127" t="s">
        <v>1339</v>
      </c>
      <c r="F253" s="167"/>
    </row>
    <row r="254" spans="1:10" s="166" customFormat="1" ht="51">
      <c r="A254" s="127" t="s">
        <v>1385</v>
      </c>
      <c r="B254" s="127" t="s">
        <v>1384</v>
      </c>
      <c r="C254" s="127" t="s">
        <v>1399</v>
      </c>
      <c r="D254" s="168">
        <v>9.50866</v>
      </c>
      <c r="E254" s="127" t="s">
        <v>1339</v>
      </c>
      <c r="F254" s="167"/>
      <c r="J254" s="169"/>
    </row>
    <row r="255" spans="1:10" s="166" customFormat="1" ht="51">
      <c r="A255" s="127" t="s">
        <v>1385</v>
      </c>
      <c r="B255" s="127" t="s">
        <v>1384</v>
      </c>
      <c r="C255" s="127" t="s">
        <v>1398</v>
      </c>
      <c r="D255" s="168">
        <v>86.10126</v>
      </c>
      <c r="E255" s="127" t="s">
        <v>1339</v>
      </c>
      <c r="F255" s="167"/>
      <c r="J255" s="169"/>
    </row>
    <row r="256" spans="1:6" s="166" customFormat="1" ht="25.5">
      <c r="A256" s="127" t="s">
        <v>1385</v>
      </c>
      <c r="B256" s="127" t="s">
        <v>1384</v>
      </c>
      <c r="C256" s="127" t="s">
        <v>1397</v>
      </c>
      <c r="D256" s="168">
        <v>151.95551</v>
      </c>
      <c r="E256" s="127" t="s">
        <v>1394</v>
      </c>
      <c r="F256" s="167"/>
    </row>
    <row r="257" spans="1:6" s="166" customFormat="1" ht="25.5">
      <c r="A257" s="127" t="s">
        <v>1385</v>
      </c>
      <c r="B257" s="127" t="s">
        <v>1384</v>
      </c>
      <c r="C257" s="127" t="s">
        <v>1397</v>
      </c>
      <c r="D257" s="168">
        <v>3.64014</v>
      </c>
      <c r="E257" s="127" t="s">
        <v>1394</v>
      </c>
      <c r="F257" s="167"/>
    </row>
    <row r="258" spans="1:6" s="166" customFormat="1" ht="38.25">
      <c r="A258" s="127" t="s">
        <v>1385</v>
      </c>
      <c r="B258" s="127" t="s">
        <v>1384</v>
      </c>
      <c r="C258" s="127" t="s">
        <v>1395</v>
      </c>
      <c r="D258" s="168">
        <v>13.1932</v>
      </c>
      <c r="E258" s="127" t="s">
        <v>1394</v>
      </c>
      <c r="F258" s="167"/>
    </row>
    <row r="259" spans="1:6" s="166" customFormat="1" ht="38.25">
      <c r="A259" s="127" t="s">
        <v>1396</v>
      </c>
      <c r="B259" s="127" t="s">
        <v>1384</v>
      </c>
      <c r="C259" s="127" t="s">
        <v>1395</v>
      </c>
      <c r="D259" s="168">
        <v>133.4997</v>
      </c>
      <c r="E259" s="127" t="s">
        <v>1394</v>
      </c>
      <c r="F259" s="167"/>
    </row>
    <row r="260" spans="1:6" s="166" customFormat="1" ht="38.25">
      <c r="A260" s="127" t="s">
        <v>1391</v>
      </c>
      <c r="B260" s="127" t="s">
        <v>1384</v>
      </c>
      <c r="C260" s="127" t="s">
        <v>1393</v>
      </c>
      <c r="D260" s="168">
        <v>199.46528</v>
      </c>
      <c r="E260" s="127" t="s">
        <v>1392</v>
      </c>
      <c r="F260" s="167"/>
    </row>
    <row r="261" spans="1:6" s="166" customFormat="1" ht="38.25">
      <c r="A261" s="127" t="s">
        <v>1391</v>
      </c>
      <c r="B261" s="127" t="s">
        <v>1384</v>
      </c>
      <c r="C261" s="127" t="s">
        <v>1390</v>
      </c>
      <c r="D261" s="168">
        <v>57.90348</v>
      </c>
      <c r="E261" s="127" t="s">
        <v>1388</v>
      </c>
      <c r="F261" s="167"/>
    </row>
    <row r="262" spans="1:6" s="166" customFormat="1" ht="38.25">
      <c r="A262" s="127" t="s">
        <v>1385</v>
      </c>
      <c r="B262" s="127" t="s">
        <v>1384</v>
      </c>
      <c r="C262" s="127" t="s">
        <v>1389</v>
      </c>
      <c r="D262" s="168">
        <v>137.84004</v>
      </c>
      <c r="E262" s="127" t="s">
        <v>1388</v>
      </c>
      <c r="F262" s="167"/>
    </row>
    <row r="263" spans="1:6" s="166" customFormat="1" ht="38.25">
      <c r="A263" s="127" t="s">
        <v>1385</v>
      </c>
      <c r="B263" s="127" t="s">
        <v>1384</v>
      </c>
      <c r="C263" s="127" t="s">
        <v>1387</v>
      </c>
      <c r="D263" s="168">
        <v>18.6</v>
      </c>
      <c r="E263" s="127" t="s">
        <v>1386</v>
      </c>
      <c r="F263" s="167"/>
    </row>
    <row r="264" spans="1:6" s="166" customFormat="1" ht="25.5">
      <c r="A264" s="127" t="s">
        <v>1385</v>
      </c>
      <c r="B264" s="127" t="s">
        <v>1384</v>
      </c>
      <c r="C264" s="127" t="s">
        <v>1383</v>
      </c>
      <c r="D264" s="168">
        <v>43.4</v>
      </c>
      <c r="E264" s="127" t="s">
        <v>1382</v>
      </c>
      <c r="F264" s="167"/>
    </row>
    <row r="265" spans="1:6" s="166" customFormat="1" ht="38.25">
      <c r="A265" s="127" t="s">
        <v>1378</v>
      </c>
      <c r="B265" s="127" t="s">
        <v>1377</v>
      </c>
      <c r="C265" s="127" t="s">
        <v>1381</v>
      </c>
      <c r="D265" s="168">
        <v>18.00167</v>
      </c>
      <c r="E265" s="127" t="s">
        <v>1380</v>
      </c>
      <c r="F265" s="167"/>
    </row>
    <row r="266" spans="1:6" s="166" customFormat="1" ht="25.5">
      <c r="A266" s="127" t="s">
        <v>1378</v>
      </c>
      <c r="B266" s="127" t="s">
        <v>1377</v>
      </c>
      <c r="C266" s="127" t="s">
        <v>1379</v>
      </c>
      <c r="D266" s="168">
        <v>46.99994</v>
      </c>
      <c r="E266" s="127" t="s">
        <v>1375</v>
      </c>
      <c r="F266" s="167"/>
    </row>
    <row r="267" spans="1:6" s="166" customFormat="1" ht="25.5">
      <c r="A267" s="127" t="s">
        <v>1378</v>
      </c>
      <c r="B267" s="127" t="s">
        <v>1377</v>
      </c>
      <c r="C267" s="127" t="s">
        <v>1376</v>
      </c>
      <c r="D267" s="168">
        <v>47.99862</v>
      </c>
      <c r="E267" s="127" t="s">
        <v>1375</v>
      </c>
      <c r="F267" s="167"/>
    </row>
    <row r="268" spans="1:6" s="166" customFormat="1" ht="25.5">
      <c r="A268" s="127" t="s">
        <v>1374</v>
      </c>
      <c r="B268" s="127" t="s">
        <v>1373</v>
      </c>
      <c r="C268" s="127" t="s">
        <v>1372</v>
      </c>
      <c r="D268" s="168">
        <v>5.684</v>
      </c>
      <c r="E268" s="127" t="s">
        <v>1371</v>
      </c>
      <c r="F268" s="167"/>
    </row>
    <row r="269" spans="1:6" s="166" customFormat="1" ht="25.5">
      <c r="A269" s="127" t="s">
        <v>1352</v>
      </c>
      <c r="B269" s="127" t="s">
        <v>1351</v>
      </c>
      <c r="C269" s="127" t="s">
        <v>1370</v>
      </c>
      <c r="D269" s="168">
        <v>190.905</v>
      </c>
      <c r="E269" s="127" t="s">
        <v>1369</v>
      </c>
      <c r="F269" s="167"/>
    </row>
    <row r="270" spans="1:6" s="166" customFormat="1" ht="25.5">
      <c r="A270" s="127" t="s">
        <v>1352</v>
      </c>
      <c r="B270" s="127" t="s">
        <v>1351</v>
      </c>
      <c r="C270" s="127" t="s">
        <v>1368</v>
      </c>
      <c r="D270" s="168">
        <v>18.12643</v>
      </c>
      <c r="E270" s="127" t="s">
        <v>1339</v>
      </c>
      <c r="F270" s="167"/>
    </row>
    <row r="271" spans="1:6" s="166" customFormat="1" ht="25.5">
      <c r="A271" s="127" t="s">
        <v>1367</v>
      </c>
      <c r="B271" s="127" t="s">
        <v>1360</v>
      </c>
      <c r="C271" s="127" t="s">
        <v>1366</v>
      </c>
      <c r="D271" s="168">
        <v>199.907</v>
      </c>
      <c r="E271" s="127" t="s">
        <v>1365</v>
      </c>
      <c r="F271" s="167"/>
    </row>
    <row r="272" spans="1:6" s="166" customFormat="1" ht="25.5">
      <c r="A272" s="127" t="s">
        <v>1364</v>
      </c>
      <c r="B272" s="127" t="s">
        <v>1360</v>
      </c>
      <c r="C272" s="127" t="s">
        <v>1363</v>
      </c>
      <c r="D272" s="168" t="s">
        <v>1362</v>
      </c>
      <c r="E272" s="127" t="s">
        <v>1361</v>
      </c>
      <c r="F272" s="167"/>
    </row>
    <row r="273" spans="1:6" s="166" customFormat="1" ht="25.5">
      <c r="A273" s="127" t="s">
        <v>1355</v>
      </c>
      <c r="B273" s="127" t="s">
        <v>1360</v>
      </c>
      <c r="C273" s="127" t="s">
        <v>1359</v>
      </c>
      <c r="D273" s="168">
        <v>6.62</v>
      </c>
      <c r="E273" s="127" t="s">
        <v>1358</v>
      </c>
      <c r="F273" s="167"/>
    </row>
    <row r="274" spans="1:6" s="166" customFormat="1" ht="25.5">
      <c r="A274" s="127" t="s">
        <v>1352</v>
      </c>
      <c r="B274" s="127" t="s">
        <v>1351</v>
      </c>
      <c r="C274" s="127" t="s">
        <v>1357</v>
      </c>
      <c r="D274" s="168">
        <v>9.57858</v>
      </c>
      <c r="E274" s="127" t="s">
        <v>1339</v>
      </c>
      <c r="F274" s="167"/>
    </row>
    <row r="275" spans="1:6" s="166" customFormat="1" ht="25.5">
      <c r="A275" s="127" t="s">
        <v>1355</v>
      </c>
      <c r="B275" s="127" t="s">
        <v>1351</v>
      </c>
      <c r="C275" s="127" t="s">
        <v>1350</v>
      </c>
      <c r="D275" s="168">
        <v>15.593</v>
      </c>
      <c r="E275" s="127" t="s">
        <v>1339</v>
      </c>
      <c r="F275" s="167"/>
    </row>
    <row r="276" spans="1:6" s="166" customFormat="1" ht="25.5">
      <c r="A276" s="127" t="s">
        <v>1355</v>
      </c>
      <c r="B276" s="127" t="s">
        <v>1351</v>
      </c>
      <c r="C276" s="127" t="s">
        <v>1356</v>
      </c>
      <c r="D276" s="168">
        <v>18.902</v>
      </c>
      <c r="E276" s="127" t="s">
        <v>1339</v>
      </c>
      <c r="F276" s="167"/>
    </row>
    <row r="277" spans="1:6" s="166" customFormat="1" ht="25.5">
      <c r="A277" s="127" t="s">
        <v>1355</v>
      </c>
      <c r="B277" s="127" t="s">
        <v>1351</v>
      </c>
      <c r="C277" s="127" t="s">
        <v>1354</v>
      </c>
      <c r="D277" s="168">
        <v>45.995</v>
      </c>
      <c r="E277" s="127" t="s">
        <v>1353</v>
      </c>
      <c r="F277" s="167"/>
    </row>
    <row r="278" spans="1:6" s="166" customFormat="1" ht="25.5">
      <c r="A278" s="127" t="s">
        <v>1352</v>
      </c>
      <c r="B278" s="127" t="s">
        <v>1351</v>
      </c>
      <c r="C278" s="127" t="s">
        <v>1350</v>
      </c>
      <c r="D278" s="168">
        <v>8.505</v>
      </c>
      <c r="E278" s="127" t="s">
        <v>1339</v>
      </c>
      <c r="F278" s="167"/>
    </row>
    <row r="279" spans="1:6" s="166" customFormat="1" ht="53.25" customHeight="1">
      <c r="A279" s="127" t="s">
        <v>1349</v>
      </c>
      <c r="B279" s="127" t="s">
        <v>1346</v>
      </c>
      <c r="C279" s="127" t="s">
        <v>1348</v>
      </c>
      <c r="D279" s="168">
        <v>33</v>
      </c>
      <c r="E279" s="127" t="s">
        <v>1339</v>
      </c>
      <c r="F279" s="167"/>
    </row>
    <row r="280" spans="1:6" s="166" customFormat="1" ht="25.5">
      <c r="A280" s="127" t="s">
        <v>1347</v>
      </c>
      <c r="B280" s="127" t="s">
        <v>1346</v>
      </c>
      <c r="C280" s="127" t="s">
        <v>1348</v>
      </c>
      <c r="D280" s="168">
        <v>95</v>
      </c>
      <c r="E280" s="127" t="s">
        <v>1339</v>
      </c>
      <c r="F280" s="167"/>
    </row>
    <row r="281" spans="1:6" s="166" customFormat="1" ht="25.5">
      <c r="A281" s="127" t="s">
        <v>1347</v>
      </c>
      <c r="B281" s="127" t="s">
        <v>1346</v>
      </c>
      <c r="C281" s="127" t="s">
        <v>1345</v>
      </c>
      <c r="D281" s="168">
        <v>8.505</v>
      </c>
      <c r="E281" s="127" t="s">
        <v>1339</v>
      </c>
      <c r="F281" s="167"/>
    </row>
    <row r="282" spans="1:6" s="166" customFormat="1" ht="38.25">
      <c r="A282" s="127" t="s">
        <v>1338</v>
      </c>
      <c r="B282" s="127" t="s">
        <v>1337</v>
      </c>
      <c r="C282" s="127" t="s">
        <v>1344</v>
      </c>
      <c r="D282" s="168">
        <v>117.97594</v>
      </c>
      <c r="E282" s="127" t="s">
        <v>1343</v>
      </c>
      <c r="F282" s="167"/>
    </row>
    <row r="283" spans="1:6" s="166" customFormat="1" ht="63.75">
      <c r="A283" s="127" t="s">
        <v>1338</v>
      </c>
      <c r="B283" s="127" t="s">
        <v>1337</v>
      </c>
      <c r="C283" s="127" t="s">
        <v>1342</v>
      </c>
      <c r="D283" s="168">
        <v>12.5</v>
      </c>
      <c r="E283" s="127" t="s">
        <v>1339</v>
      </c>
      <c r="F283" s="167"/>
    </row>
    <row r="284" spans="1:6" s="166" customFormat="1" ht="51">
      <c r="A284" s="127" t="s">
        <v>1338</v>
      </c>
      <c r="B284" s="127" t="s">
        <v>1337</v>
      </c>
      <c r="C284" s="127" t="s">
        <v>1341</v>
      </c>
      <c r="D284" s="168">
        <v>28.538</v>
      </c>
      <c r="E284" s="127" t="s">
        <v>1339</v>
      </c>
      <c r="F284" s="167"/>
    </row>
    <row r="285" spans="1:6" s="166" customFormat="1" ht="51">
      <c r="A285" s="127" t="s">
        <v>1338</v>
      </c>
      <c r="B285" s="127" t="s">
        <v>1337</v>
      </c>
      <c r="C285" s="127" t="s">
        <v>1340</v>
      </c>
      <c r="D285" s="168">
        <v>8.32921</v>
      </c>
      <c r="E285" s="127" t="s">
        <v>1339</v>
      </c>
      <c r="F285" s="167"/>
    </row>
    <row r="286" spans="1:6" s="166" customFormat="1" ht="51">
      <c r="A286" s="127" t="s">
        <v>1338</v>
      </c>
      <c r="B286" s="127" t="s">
        <v>1337</v>
      </c>
      <c r="C286" s="127" t="s">
        <v>1336</v>
      </c>
      <c r="D286" s="168">
        <v>60</v>
      </c>
      <c r="E286" s="127" t="s">
        <v>1335</v>
      </c>
      <c r="F286" s="167"/>
    </row>
    <row r="287" spans="1:6" s="166" customFormat="1" ht="25.5">
      <c r="A287" s="127" t="s">
        <v>1330</v>
      </c>
      <c r="B287" s="127" t="s">
        <v>1329</v>
      </c>
      <c r="C287" s="127" t="s">
        <v>1334</v>
      </c>
      <c r="D287" s="168">
        <v>189.966</v>
      </c>
      <c r="E287" s="127" t="s">
        <v>1333</v>
      </c>
      <c r="F287" s="167"/>
    </row>
    <row r="288" spans="1:6" s="166" customFormat="1" ht="25.5">
      <c r="A288" s="127" t="s">
        <v>1330</v>
      </c>
      <c r="B288" s="127" t="s">
        <v>1329</v>
      </c>
      <c r="C288" s="127" t="s">
        <v>1332</v>
      </c>
      <c r="D288" s="168">
        <v>140.521</v>
      </c>
      <c r="E288" s="127" t="s">
        <v>1331</v>
      </c>
      <c r="F288" s="167"/>
    </row>
    <row r="289" spans="1:6" s="166" customFormat="1" ht="25.5">
      <c r="A289" s="127" t="s">
        <v>1330</v>
      </c>
      <c r="B289" s="127" t="s">
        <v>1329</v>
      </c>
      <c r="C289" s="127" t="s">
        <v>1328</v>
      </c>
      <c r="D289" s="168">
        <v>24.662</v>
      </c>
      <c r="E289" s="127" t="s">
        <v>1327</v>
      </c>
      <c r="F289" s="167"/>
    </row>
    <row r="290" spans="1:6" s="162" customFormat="1" ht="15">
      <c r="A290" s="165"/>
      <c r="B290" s="100" t="s">
        <v>1</v>
      </c>
      <c r="C290" s="117" t="s">
        <v>0</v>
      </c>
      <c r="D290" s="164">
        <f>SUM(D238:D289)</f>
        <v>3062.141789999999</v>
      </c>
      <c r="E290" s="117" t="s">
        <v>0</v>
      </c>
      <c r="F290" s="163"/>
    </row>
    <row r="291" spans="1:6" s="2" customFormat="1" ht="15">
      <c r="A291" s="67" t="s">
        <v>1326</v>
      </c>
      <c r="B291" s="66"/>
      <c r="C291" s="66"/>
      <c r="D291" s="66"/>
      <c r="E291" s="65"/>
      <c r="F291" s="161"/>
    </row>
    <row r="292" spans="1:6" s="145" customFormat="1" ht="12.75">
      <c r="A292" s="148"/>
      <c r="B292" s="160">
        <v>1216011</v>
      </c>
      <c r="C292" s="160"/>
      <c r="D292" s="159"/>
      <c r="E292" s="148"/>
      <c r="F292" s="147"/>
    </row>
    <row r="293" spans="1:6" s="119" customFormat="1" ht="25.5">
      <c r="A293" s="61" t="s">
        <v>583</v>
      </c>
      <c r="B293" s="158" t="s">
        <v>1325</v>
      </c>
      <c r="C293" s="158" t="s">
        <v>1325</v>
      </c>
      <c r="D293" s="155">
        <f>7098/1000</f>
        <v>7.098</v>
      </c>
      <c r="E293" s="61" t="s">
        <v>1256</v>
      </c>
      <c r="F293" s="157"/>
    </row>
    <row r="294" spans="1:6" s="119" customFormat="1" ht="25.5">
      <c r="A294" s="61" t="s">
        <v>583</v>
      </c>
      <c r="B294" s="158" t="s">
        <v>1324</v>
      </c>
      <c r="C294" s="158" t="s">
        <v>1324</v>
      </c>
      <c r="D294" s="155">
        <f>12243.6/1000</f>
        <v>12.2436</v>
      </c>
      <c r="E294" s="61" t="s">
        <v>1256</v>
      </c>
      <c r="F294" s="157"/>
    </row>
    <row r="295" spans="1:6" s="119" customFormat="1" ht="25.5">
      <c r="A295" s="61" t="s">
        <v>583</v>
      </c>
      <c r="B295" s="158" t="s">
        <v>1323</v>
      </c>
      <c r="C295" s="158" t="s">
        <v>1323</v>
      </c>
      <c r="D295" s="155">
        <v>10.8396</v>
      </c>
      <c r="E295" s="61" t="s">
        <v>1256</v>
      </c>
      <c r="F295" s="157"/>
    </row>
    <row r="296" spans="1:6" s="119" customFormat="1" ht="25.5">
      <c r="A296" s="61" t="s">
        <v>583</v>
      </c>
      <c r="B296" s="158" t="s">
        <v>1322</v>
      </c>
      <c r="C296" s="158" t="s">
        <v>1322</v>
      </c>
      <c r="D296" s="155">
        <f>6788.4/1000</f>
        <v>6.788399999999999</v>
      </c>
      <c r="E296" s="61" t="s">
        <v>1256</v>
      </c>
      <c r="F296" s="157"/>
    </row>
    <row r="297" spans="1:6" s="119" customFormat="1" ht="25.5">
      <c r="A297" s="61" t="s">
        <v>583</v>
      </c>
      <c r="B297" s="158" t="s">
        <v>1321</v>
      </c>
      <c r="C297" s="158" t="s">
        <v>1321</v>
      </c>
      <c r="D297" s="155">
        <f>4218/1000</f>
        <v>4.218</v>
      </c>
      <c r="E297" s="61" t="s">
        <v>1256</v>
      </c>
      <c r="F297" s="157"/>
    </row>
    <row r="298" spans="1:6" s="119" customFormat="1" ht="25.5">
      <c r="A298" s="61" t="s">
        <v>583</v>
      </c>
      <c r="B298" s="158" t="s">
        <v>1320</v>
      </c>
      <c r="C298" s="158" t="s">
        <v>1320</v>
      </c>
      <c r="D298" s="155">
        <f>3942/1000</f>
        <v>3.942</v>
      </c>
      <c r="E298" s="61" t="s">
        <v>1256</v>
      </c>
      <c r="F298" s="157"/>
    </row>
    <row r="299" spans="1:6" s="119" customFormat="1" ht="25.5">
      <c r="A299" s="61" t="s">
        <v>583</v>
      </c>
      <c r="B299" s="158" t="s">
        <v>1319</v>
      </c>
      <c r="C299" s="158" t="s">
        <v>1319</v>
      </c>
      <c r="D299" s="155">
        <f>3709.2/1000</f>
        <v>3.7091999999999996</v>
      </c>
      <c r="E299" s="61" t="s">
        <v>1256</v>
      </c>
      <c r="F299" s="157"/>
    </row>
    <row r="300" spans="1:6" s="119" customFormat="1" ht="25.5">
      <c r="A300" s="61" t="s">
        <v>583</v>
      </c>
      <c r="B300" s="158" t="s">
        <v>1318</v>
      </c>
      <c r="C300" s="158" t="s">
        <v>1318</v>
      </c>
      <c r="D300" s="155">
        <v>6.1332</v>
      </c>
      <c r="E300" s="61" t="s">
        <v>1256</v>
      </c>
      <c r="F300" s="157"/>
    </row>
    <row r="301" spans="1:6" s="119" customFormat="1" ht="25.5">
      <c r="A301" s="61" t="s">
        <v>583</v>
      </c>
      <c r="B301" s="158" t="s">
        <v>1317</v>
      </c>
      <c r="C301" s="158" t="s">
        <v>1317</v>
      </c>
      <c r="D301" s="155">
        <f>20689.2/1000</f>
        <v>20.6892</v>
      </c>
      <c r="E301" s="61" t="s">
        <v>1256</v>
      </c>
      <c r="F301" s="157"/>
    </row>
    <row r="302" spans="1:6" s="119" customFormat="1" ht="25.5">
      <c r="A302" s="61" t="s">
        <v>583</v>
      </c>
      <c r="B302" s="158" t="s">
        <v>1316</v>
      </c>
      <c r="C302" s="158" t="s">
        <v>1316</v>
      </c>
      <c r="D302" s="155">
        <f>11668.8/1000</f>
        <v>11.6688</v>
      </c>
      <c r="E302" s="61" t="s">
        <v>1256</v>
      </c>
      <c r="F302" s="157"/>
    </row>
    <row r="303" spans="1:6" s="119" customFormat="1" ht="25.5">
      <c r="A303" s="61" t="s">
        <v>583</v>
      </c>
      <c r="B303" s="158" t="s">
        <v>1315</v>
      </c>
      <c r="C303" s="158" t="s">
        <v>1315</v>
      </c>
      <c r="D303" s="155">
        <f>10863.6/1000</f>
        <v>10.8636</v>
      </c>
      <c r="E303" s="61" t="s">
        <v>1256</v>
      </c>
      <c r="F303" s="157"/>
    </row>
    <row r="304" spans="1:6" s="119" customFormat="1" ht="25.5">
      <c r="A304" s="61" t="s">
        <v>583</v>
      </c>
      <c r="B304" s="158" t="s">
        <v>1314</v>
      </c>
      <c r="C304" s="158" t="s">
        <v>1314</v>
      </c>
      <c r="D304" s="155">
        <f>5472/1000</f>
        <v>5.472</v>
      </c>
      <c r="E304" s="61" t="s">
        <v>1256</v>
      </c>
      <c r="F304" s="157"/>
    </row>
    <row r="305" spans="1:6" s="119" customFormat="1" ht="25.5">
      <c r="A305" s="61" t="s">
        <v>583</v>
      </c>
      <c r="B305" s="158" t="s">
        <v>1313</v>
      </c>
      <c r="C305" s="158" t="s">
        <v>1313</v>
      </c>
      <c r="D305" s="155">
        <f>6948/1000</f>
        <v>6.948</v>
      </c>
      <c r="E305" s="61" t="s">
        <v>1256</v>
      </c>
      <c r="F305" s="157"/>
    </row>
    <row r="306" spans="1:6" s="119" customFormat="1" ht="25.5">
      <c r="A306" s="61" t="s">
        <v>583</v>
      </c>
      <c r="B306" s="158" t="s">
        <v>1312</v>
      </c>
      <c r="C306" s="158" t="s">
        <v>1312</v>
      </c>
      <c r="D306" s="155">
        <v>10.9296</v>
      </c>
      <c r="E306" s="61" t="s">
        <v>1256</v>
      </c>
      <c r="F306" s="157"/>
    </row>
    <row r="307" spans="1:6" s="119" customFormat="1" ht="25.5">
      <c r="A307" s="61" t="s">
        <v>583</v>
      </c>
      <c r="B307" s="158" t="s">
        <v>1311</v>
      </c>
      <c r="C307" s="158" t="s">
        <v>1311</v>
      </c>
      <c r="D307" s="155">
        <f>10852.8/1000</f>
        <v>10.852799999999998</v>
      </c>
      <c r="E307" s="61" t="s">
        <v>1256</v>
      </c>
      <c r="F307" s="157"/>
    </row>
    <row r="308" spans="1:6" s="119" customFormat="1" ht="25.5">
      <c r="A308" s="61" t="s">
        <v>583</v>
      </c>
      <c r="B308" s="158" t="s">
        <v>1310</v>
      </c>
      <c r="C308" s="158" t="s">
        <v>1310</v>
      </c>
      <c r="D308" s="155">
        <v>2.8848</v>
      </c>
      <c r="E308" s="61" t="s">
        <v>1256</v>
      </c>
      <c r="F308" s="157"/>
    </row>
    <row r="309" spans="1:6" s="119" customFormat="1" ht="25.5">
      <c r="A309" s="61" t="s">
        <v>583</v>
      </c>
      <c r="B309" s="158" t="s">
        <v>1309</v>
      </c>
      <c r="C309" s="158" t="s">
        <v>1309</v>
      </c>
      <c r="D309" s="155">
        <f>10611.6/1000</f>
        <v>10.611600000000001</v>
      </c>
      <c r="E309" s="61" t="s">
        <v>1256</v>
      </c>
      <c r="F309" s="157"/>
    </row>
    <row r="310" spans="1:6" s="119" customFormat="1" ht="25.5">
      <c r="A310" s="61" t="s">
        <v>583</v>
      </c>
      <c r="B310" s="158" t="s">
        <v>1308</v>
      </c>
      <c r="C310" s="158" t="s">
        <v>1308</v>
      </c>
      <c r="D310" s="155">
        <f>3942/1000</f>
        <v>3.942</v>
      </c>
      <c r="E310" s="61" t="s">
        <v>1256</v>
      </c>
      <c r="F310" s="157"/>
    </row>
    <row r="311" spans="1:6" s="119" customFormat="1" ht="25.5">
      <c r="A311" s="61" t="s">
        <v>583</v>
      </c>
      <c r="B311" s="158" t="s">
        <v>1307</v>
      </c>
      <c r="C311" s="158" t="s">
        <v>1307</v>
      </c>
      <c r="D311" s="155">
        <v>10.8672</v>
      </c>
      <c r="E311" s="61" t="s">
        <v>1256</v>
      </c>
      <c r="F311" s="157"/>
    </row>
    <row r="312" spans="1:6" s="119" customFormat="1" ht="25.5">
      <c r="A312" s="61" t="s">
        <v>583</v>
      </c>
      <c r="B312" s="158" t="s">
        <v>1306</v>
      </c>
      <c r="C312" s="158" t="s">
        <v>1306</v>
      </c>
      <c r="D312" s="155">
        <f>14276.4/1000</f>
        <v>14.276399999999999</v>
      </c>
      <c r="E312" s="61" t="s">
        <v>1256</v>
      </c>
      <c r="F312" s="157"/>
    </row>
    <row r="313" spans="1:6" s="119" customFormat="1" ht="25.5">
      <c r="A313" s="61" t="s">
        <v>583</v>
      </c>
      <c r="B313" s="158" t="s">
        <v>1305</v>
      </c>
      <c r="C313" s="158" t="s">
        <v>1305</v>
      </c>
      <c r="D313" s="155">
        <f>5833.2/1000</f>
        <v>5.8332</v>
      </c>
      <c r="E313" s="61" t="s">
        <v>1256</v>
      </c>
      <c r="F313" s="157"/>
    </row>
    <row r="314" spans="1:6" s="119" customFormat="1" ht="25.5">
      <c r="A314" s="61" t="s">
        <v>583</v>
      </c>
      <c r="B314" s="158" t="s">
        <v>1304</v>
      </c>
      <c r="C314" s="158" t="s">
        <v>1304</v>
      </c>
      <c r="D314" s="155">
        <f>3404.4/1000</f>
        <v>3.4044</v>
      </c>
      <c r="E314" s="61" t="s">
        <v>1256</v>
      </c>
      <c r="F314" s="157"/>
    </row>
    <row r="315" spans="1:6" s="119" customFormat="1" ht="38.25">
      <c r="A315" s="61" t="s">
        <v>583</v>
      </c>
      <c r="B315" s="158" t="s">
        <v>1303</v>
      </c>
      <c r="C315" s="158" t="s">
        <v>1303</v>
      </c>
      <c r="D315" s="155">
        <v>5.3736</v>
      </c>
      <c r="E315" s="61" t="s">
        <v>1256</v>
      </c>
      <c r="F315" s="157"/>
    </row>
    <row r="316" spans="1:6" s="119" customFormat="1" ht="25.5">
      <c r="A316" s="61" t="s">
        <v>583</v>
      </c>
      <c r="B316" s="158" t="s">
        <v>1302</v>
      </c>
      <c r="C316" s="158" t="s">
        <v>1302</v>
      </c>
      <c r="D316" s="155">
        <f>9378/1000</f>
        <v>9.378</v>
      </c>
      <c r="E316" s="61" t="s">
        <v>1256</v>
      </c>
      <c r="F316" s="157"/>
    </row>
    <row r="317" spans="1:6" s="119" customFormat="1" ht="25.5">
      <c r="A317" s="61" t="s">
        <v>583</v>
      </c>
      <c r="B317" s="158" t="s">
        <v>1301</v>
      </c>
      <c r="C317" s="158" t="s">
        <v>1301</v>
      </c>
      <c r="D317" s="155">
        <f>11086.8/1000</f>
        <v>11.086799999999998</v>
      </c>
      <c r="E317" s="61" t="s">
        <v>1256</v>
      </c>
      <c r="F317" s="157"/>
    </row>
    <row r="318" spans="1:6" s="119" customFormat="1" ht="25.5">
      <c r="A318" s="61" t="s">
        <v>583</v>
      </c>
      <c r="B318" s="158" t="s">
        <v>1300</v>
      </c>
      <c r="C318" s="158" t="s">
        <v>1300</v>
      </c>
      <c r="D318" s="155">
        <f>6226.8/1000</f>
        <v>6.2268</v>
      </c>
      <c r="E318" s="61" t="s">
        <v>1256</v>
      </c>
      <c r="F318" s="157"/>
    </row>
    <row r="319" spans="1:6" s="119" customFormat="1" ht="25.5">
      <c r="A319" s="61" t="s">
        <v>583</v>
      </c>
      <c r="B319" s="158" t="s">
        <v>1299</v>
      </c>
      <c r="C319" s="158" t="s">
        <v>1299</v>
      </c>
      <c r="D319" s="155">
        <f>8625.6/1000</f>
        <v>8.6256</v>
      </c>
      <c r="E319" s="61" t="s">
        <v>1256</v>
      </c>
      <c r="F319" s="157"/>
    </row>
    <row r="320" spans="1:6" s="119" customFormat="1" ht="25.5">
      <c r="A320" s="61" t="s">
        <v>583</v>
      </c>
      <c r="B320" s="158" t="s">
        <v>1298</v>
      </c>
      <c r="C320" s="158" t="s">
        <v>1298</v>
      </c>
      <c r="D320" s="155">
        <f>11506.8/1000</f>
        <v>11.5068</v>
      </c>
      <c r="E320" s="61" t="s">
        <v>1256</v>
      </c>
      <c r="F320" s="157"/>
    </row>
    <row r="321" spans="1:6" s="119" customFormat="1" ht="25.5">
      <c r="A321" s="61" t="s">
        <v>583</v>
      </c>
      <c r="B321" s="158" t="s">
        <v>1297</v>
      </c>
      <c r="C321" s="158" t="s">
        <v>1297</v>
      </c>
      <c r="D321" s="155">
        <f>3703.2/1000</f>
        <v>3.7032</v>
      </c>
      <c r="E321" s="61" t="s">
        <v>1256</v>
      </c>
      <c r="F321" s="157"/>
    </row>
    <row r="322" spans="1:6" s="119" customFormat="1" ht="38.25">
      <c r="A322" s="61" t="s">
        <v>583</v>
      </c>
      <c r="B322" s="158" t="s">
        <v>1296</v>
      </c>
      <c r="C322" s="158" t="s">
        <v>1296</v>
      </c>
      <c r="D322" s="155">
        <f>9250.8/1000</f>
        <v>9.2508</v>
      </c>
      <c r="E322" s="61" t="s">
        <v>1256</v>
      </c>
      <c r="F322" s="157"/>
    </row>
    <row r="323" spans="1:6" s="119" customFormat="1" ht="38.25">
      <c r="A323" s="61" t="s">
        <v>583</v>
      </c>
      <c r="B323" s="158" t="s">
        <v>1295</v>
      </c>
      <c r="C323" s="158" t="s">
        <v>1295</v>
      </c>
      <c r="D323" s="155">
        <v>3.3456</v>
      </c>
      <c r="E323" s="61" t="s">
        <v>1256</v>
      </c>
      <c r="F323" s="157"/>
    </row>
    <row r="324" spans="1:6" s="119" customFormat="1" ht="25.5">
      <c r="A324" s="61" t="s">
        <v>583</v>
      </c>
      <c r="B324" s="158" t="s">
        <v>1294</v>
      </c>
      <c r="C324" s="158" t="s">
        <v>1294</v>
      </c>
      <c r="D324" s="155">
        <f>3494.4/1000</f>
        <v>3.4944</v>
      </c>
      <c r="E324" s="61" t="s">
        <v>1256</v>
      </c>
      <c r="F324" s="157"/>
    </row>
    <row r="325" spans="1:6" s="119" customFormat="1" ht="25.5">
      <c r="A325" s="61" t="s">
        <v>583</v>
      </c>
      <c r="B325" s="158" t="s">
        <v>1293</v>
      </c>
      <c r="C325" s="158" t="s">
        <v>1293</v>
      </c>
      <c r="D325" s="155">
        <f>152097.41/1000</f>
        <v>152.09741</v>
      </c>
      <c r="E325" s="61" t="s">
        <v>1292</v>
      </c>
      <c r="F325" s="157"/>
    </row>
    <row r="326" spans="1:6" s="119" customFormat="1" ht="25.5">
      <c r="A326" s="61" t="s">
        <v>583</v>
      </c>
      <c r="B326" s="158" t="s">
        <v>1291</v>
      </c>
      <c r="C326" s="158" t="s">
        <v>1291</v>
      </c>
      <c r="D326" s="155">
        <f>18187.57/1000</f>
        <v>18.18757</v>
      </c>
      <c r="E326" s="61" t="s">
        <v>1290</v>
      </c>
      <c r="F326" s="157"/>
    </row>
    <row r="327" spans="1:6" s="119" customFormat="1" ht="25.5">
      <c r="A327" s="61" t="s">
        <v>583</v>
      </c>
      <c r="B327" s="158" t="s">
        <v>1289</v>
      </c>
      <c r="C327" s="158" t="s">
        <v>1289</v>
      </c>
      <c r="D327" s="155">
        <f>138161.99/1000</f>
        <v>138.16199</v>
      </c>
      <c r="E327" s="61" t="s">
        <v>1288</v>
      </c>
      <c r="F327" s="157"/>
    </row>
    <row r="328" spans="1:6" s="119" customFormat="1" ht="25.5">
      <c r="A328" s="61" t="s">
        <v>583</v>
      </c>
      <c r="B328" s="29" t="s">
        <v>1287</v>
      </c>
      <c r="C328" s="29" t="s">
        <v>1287</v>
      </c>
      <c r="D328" s="155">
        <f>186460.8/1000</f>
        <v>186.46079999999998</v>
      </c>
      <c r="E328" s="29" t="s">
        <v>1285</v>
      </c>
      <c r="F328" s="154"/>
    </row>
    <row r="329" spans="1:6" s="119" customFormat="1" ht="25.5">
      <c r="A329" s="61" t="s">
        <v>583</v>
      </c>
      <c r="B329" s="29" t="s">
        <v>1286</v>
      </c>
      <c r="C329" s="29" t="s">
        <v>1286</v>
      </c>
      <c r="D329" s="155">
        <f>161938.8/1000</f>
        <v>161.9388</v>
      </c>
      <c r="E329" s="29" t="s">
        <v>1285</v>
      </c>
      <c r="F329" s="154"/>
    </row>
    <row r="330" spans="1:6" s="119" customFormat="1" ht="25.5">
      <c r="A330" s="61" t="s">
        <v>583</v>
      </c>
      <c r="B330" s="29" t="s">
        <v>1284</v>
      </c>
      <c r="C330" s="29" t="s">
        <v>1284</v>
      </c>
      <c r="D330" s="155">
        <f>82269.6/1000</f>
        <v>82.26960000000001</v>
      </c>
      <c r="E330" s="61" t="s">
        <v>1281</v>
      </c>
      <c r="F330" s="154"/>
    </row>
    <row r="331" spans="1:6" s="119" customFormat="1" ht="25.5">
      <c r="A331" s="61" t="s">
        <v>583</v>
      </c>
      <c r="B331" s="29" t="s">
        <v>1283</v>
      </c>
      <c r="C331" s="29" t="s">
        <v>1283</v>
      </c>
      <c r="D331" s="155">
        <f>108467.18/1000</f>
        <v>108.46718</v>
      </c>
      <c r="E331" s="61" t="s">
        <v>1281</v>
      </c>
      <c r="F331" s="154"/>
    </row>
    <row r="332" spans="1:6" s="119" customFormat="1" ht="25.5">
      <c r="A332" s="61" t="s">
        <v>583</v>
      </c>
      <c r="B332" s="29" t="s">
        <v>1282</v>
      </c>
      <c r="C332" s="29" t="s">
        <v>1282</v>
      </c>
      <c r="D332" s="155">
        <f>70982.63/1000</f>
        <v>70.98263</v>
      </c>
      <c r="E332" s="61" t="s">
        <v>1281</v>
      </c>
      <c r="F332" s="154"/>
    </row>
    <row r="333" spans="1:6" s="119" customFormat="1" ht="25.5">
      <c r="A333" s="61" t="s">
        <v>583</v>
      </c>
      <c r="B333" s="29" t="s">
        <v>1280</v>
      </c>
      <c r="C333" s="29" t="s">
        <v>1280</v>
      </c>
      <c r="D333" s="155">
        <f>2982/1000</f>
        <v>2.982</v>
      </c>
      <c r="E333" s="61" t="s">
        <v>1256</v>
      </c>
      <c r="F333" s="154"/>
    </row>
    <row r="334" spans="1:6" s="119" customFormat="1" ht="25.5">
      <c r="A334" s="61" t="s">
        <v>583</v>
      </c>
      <c r="B334" s="29" t="s">
        <v>1279</v>
      </c>
      <c r="C334" s="29" t="s">
        <v>1279</v>
      </c>
      <c r="D334" s="155">
        <f>11778/1000</f>
        <v>11.778</v>
      </c>
      <c r="E334" s="61" t="s">
        <v>1256</v>
      </c>
      <c r="F334" s="154"/>
    </row>
    <row r="335" spans="1:6" s="119" customFormat="1" ht="25.5">
      <c r="A335" s="61" t="s">
        <v>583</v>
      </c>
      <c r="B335" s="29" t="s">
        <v>1278</v>
      </c>
      <c r="C335" s="29" t="s">
        <v>1278</v>
      </c>
      <c r="D335" s="155">
        <f>9132/1000</f>
        <v>9.132</v>
      </c>
      <c r="E335" s="61" t="s">
        <v>1256</v>
      </c>
      <c r="F335" s="154"/>
    </row>
    <row r="336" spans="1:6" s="119" customFormat="1" ht="25.5">
      <c r="A336" s="61" t="s">
        <v>583</v>
      </c>
      <c r="B336" s="29" t="s">
        <v>1277</v>
      </c>
      <c r="C336" s="29" t="s">
        <v>1277</v>
      </c>
      <c r="D336" s="155">
        <f>8602.8/1000</f>
        <v>8.602799999999998</v>
      </c>
      <c r="E336" s="61" t="s">
        <v>1256</v>
      </c>
      <c r="F336" s="154"/>
    </row>
    <row r="337" spans="1:6" s="119" customFormat="1" ht="25.5">
      <c r="A337" s="61" t="s">
        <v>583</v>
      </c>
      <c r="B337" s="29" t="s">
        <v>1276</v>
      </c>
      <c r="C337" s="29" t="s">
        <v>1276</v>
      </c>
      <c r="D337" s="155">
        <f>13773.6/1000</f>
        <v>13.7736</v>
      </c>
      <c r="E337" s="61" t="s">
        <v>1256</v>
      </c>
      <c r="F337" s="154"/>
    </row>
    <row r="338" spans="1:6" s="119" customFormat="1" ht="25.5">
      <c r="A338" s="61" t="s">
        <v>583</v>
      </c>
      <c r="B338" s="29" t="s">
        <v>1275</v>
      </c>
      <c r="C338" s="29" t="s">
        <v>1275</v>
      </c>
      <c r="D338" s="155">
        <f>27052.8/1000</f>
        <v>27.052799999999998</v>
      </c>
      <c r="E338" s="61" t="s">
        <v>1256</v>
      </c>
      <c r="F338" s="154"/>
    </row>
    <row r="339" spans="1:6" s="119" customFormat="1" ht="25.5">
      <c r="A339" s="61" t="s">
        <v>583</v>
      </c>
      <c r="B339" s="29" t="s">
        <v>1274</v>
      </c>
      <c r="C339" s="29" t="s">
        <v>1274</v>
      </c>
      <c r="D339" s="155">
        <v>11.7588</v>
      </c>
      <c r="E339" s="61" t="s">
        <v>1256</v>
      </c>
      <c r="F339" s="154"/>
    </row>
    <row r="340" spans="1:6" s="119" customFormat="1" ht="25.5">
      <c r="A340" s="61" t="s">
        <v>583</v>
      </c>
      <c r="B340" s="29" t="s">
        <v>1273</v>
      </c>
      <c r="C340" s="29" t="s">
        <v>1273</v>
      </c>
      <c r="D340" s="155">
        <f>9879.6/1000</f>
        <v>9.8796</v>
      </c>
      <c r="E340" s="61" t="s">
        <v>1256</v>
      </c>
      <c r="F340" s="154"/>
    </row>
    <row r="341" spans="1:6" s="119" customFormat="1" ht="25.5">
      <c r="A341" s="61" t="s">
        <v>583</v>
      </c>
      <c r="B341" s="29" t="s">
        <v>1272</v>
      </c>
      <c r="C341" s="29" t="s">
        <v>1272</v>
      </c>
      <c r="D341" s="155">
        <f>11217.6/1000</f>
        <v>11.217600000000001</v>
      </c>
      <c r="E341" s="61" t="s">
        <v>1256</v>
      </c>
      <c r="F341" s="154"/>
    </row>
    <row r="342" spans="1:6" s="119" customFormat="1" ht="25.5">
      <c r="A342" s="61" t="s">
        <v>583</v>
      </c>
      <c r="B342" s="29" t="s">
        <v>1271</v>
      </c>
      <c r="C342" s="29" t="s">
        <v>1271</v>
      </c>
      <c r="D342" s="155">
        <f>10638/1000</f>
        <v>10.638</v>
      </c>
      <c r="E342" s="61" t="s">
        <v>1256</v>
      </c>
      <c r="F342" s="154"/>
    </row>
    <row r="343" spans="1:6" s="119" customFormat="1" ht="38.25">
      <c r="A343" s="61" t="s">
        <v>583</v>
      </c>
      <c r="B343" s="29" t="s">
        <v>1270</v>
      </c>
      <c r="C343" s="29" t="s">
        <v>1270</v>
      </c>
      <c r="D343" s="155">
        <f>4074/1000</f>
        <v>4.074</v>
      </c>
      <c r="E343" s="61" t="s">
        <v>1256</v>
      </c>
      <c r="F343" s="154"/>
    </row>
    <row r="344" spans="1:6" s="119" customFormat="1" ht="25.5">
      <c r="A344" s="61" t="s">
        <v>583</v>
      </c>
      <c r="B344" s="29" t="s">
        <v>1269</v>
      </c>
      <c r="C344" s="29" t="s">
        <v>1269</v>
      </c>
      <c r="D344" s="155">
        <f>11173.2/1000</f>
        <v>11.173200000000001</v>
      </c>
      <c r="E344" s="61" t="s">
        <v>1256</v>
      </c>
      <c r="F344" s="154"/>
    </row>
    <row r="345" spans="1:6" s="119" customFormat="1" ht="25.5">
      <c r="A345" s="61" t="s">
        <v>583</v>
      </c>
      <c r="B345" s="29" t="s">
        <v>1268</v>
      </c>
      <c r="C345" s="29" t="s">
        <v>1268</v>
      </c>
      <c r="D345" s="155">
        <v>7.0224</v>
      </c>
      <c r="E345" s="61" t="s">
        <v>1256</v>
      </c>
      <c r="F345" s="154"/>
    </row>
    <row r="346" spans="1:6" s="119" customFormat="1" ht="38.25">
      <c r="A346" s="61" t="s">
        <v>583</v>
      </c>
      <c r="B346" s="29" t="s">
        <v>1267</v>
      </c>
      <c r="C346" s="29" t="s">
        <v>1267</v>
      </c>
      <c r="D346" s="155">
        <f>4621.2/1000</f>
        <v>4.6212</v>
      </c>
      <c r="E346" s="61" t="s">
        <v>1256</v>
      </c>
      <c r="F346" s="154"/>
    </row>
    <row r="347" spans="1:6" s="119" customFormat="1" ht="25.5">
      <c r="A347" s="61" t="s">
        <v>583</v>
      </c>
      <c r="B347" s="29" t="s">
        <v>1266</v>
      </c>
      <c r="C347" s="29" t="s">
        <v>1266</v>
      </c>
      <c r="D347" s="155">
        <f>9432/1000</f>
        <v>9.432</v>
      </c>
      <c r="E347" s="61" t="s">
        <v>1256</v>
      </c>
      <c r="F347" s="154"/>
    </row>
    <row r="348" spans="1:6" s="119" customFormat="1" ht="25.5">
      <c r="A348" s="61" t="s">
        <v>583</v>
      </c>
      <c r="B348" s="29" t="s">
        <v>1265</v>
      </c>
      <c r="C348" s="29" t="s">
        <v>1265</v>
      </c>
      <c r="D348" s="155">
        <f>11956.8/1000</f>
        <v>11.9568</v>
      </c>
      <c r="E348" s="61" t="s">
        <v>1256</v>
      </c>
      <c r="F348" s="154"/>
    </row>
    <row r="349" spans="1:6" s="119" customFormat="1" ht="25.5">
      <c r="A349" s="61" t="s">
        <v>583</v>
      </c>
      <c r="B349" s="29" t="s">
        <v>1264</v>
      </c>
      <c r="C349" s="29" t="s">
        <v>1264</v>
      </c>
      <c r="D349" s="155">
        <f>3396/1000</f>
        <v>3.396</v>
      </c>
      <c r="E349" s="61" t="s">
        <v>1256</v>
      </c>
      <c r="F349" s="154"/>
    </row>
    <row r="350" spans="1:6" s="119" customFormat="1" ht="25.5">
      <c r="A350" s="61" t="s">
        <v>583</v>
      </c>
      <c r="B350" s="29" t="s">
        <v>1263</v>
      </c>
      <c r="C350" s="29" t="s">
        <v>1263</v>
      </c>
      <c r="D350" s="155">
        <f>16515.6/1000</f>
        <v>16.5156</v>
      </c>
      <c r="E350" s="61" t="s">
        <v>1256</v>
      </c>
      <c r="F350" s="154"/>
    </row>
    <row r="351" spans="1:6" s="119" customFormat="1" ht="25.5">
      <c r="A351" s="61" t="s">
        <v>583</v>
      </c>
      <c r="B351" s="29" t="s">
        <v>1262</v>
      </c>
      <c r="C351" s="29" t="s">
        <v>1262</v>
      </c>
      <c r="D351" s="155">
        <f>6108/1000</f>
        <v>6.108</v>
      </c>
      <c r="E351" s="61" t="s">
        <v>1256</v>
      </c>
      <c r="F351" s="154"/>
    </row>
    <row r="352" spans="1:6" s="119" customFormat="1" ht="25.5">
      <c r="A352" s="61" t="s">
        <v>583</v>
      </c>
      <c r="B352" s="29" t="s">
        <v>1261</v>
      </c>
      <c r="C352" s="29" t="s">
        <v>1261</v>
      </c>
      <c r="D352" s="155">
        <f>16456.8/1000</f>
        <v>16.456799999999998</v>
      </c>
      <c r="E352" s="61" t="s">
        <v>1256</v>
      </c>
      <c r="F352" s="154"/>
    </row>
    <row r="353" spans="1:6" s="119" customFormat="1" ht="25.5">
      <c r="A353" s="61" t="s">
        <v>583</v>
      </c>
      <c r="B353" s="29" t="s">
        <v>1260</v>
      </c>
      <c r="C353" s="29" t="s">
        <v>1260</v>
      </c>
      <c r="D353" s="155">
        <f>15706.8/1000</f>
        <v>15.7068</v>
      </c>
      <c r="E353" s="61" t="s">
        <v>1256</v>
      </c>
      <c r="F353" s="154"/>
    </row>
    <row r="354" spans="1:6" s="119" customFormat="1" ht="25.5">
      <c r="A354" s="61" t="s">
        <v>583</v>
      </c>
      <c r="B354" s="29" t="s">
        <v>1259</v>
      </c>
      <c r="C354" s="29" t="s">
        <v>1259</v>
      </c>
      <c r="D354" s="155">
        <f>10222.8/1000</f>
        <v>10.2228</v>
      </c>
      <c r="E354" s="61" t="s">
        <v>1256</v>
      </c>
      <c r="F354" s="154"/>
    </row>
    <row r="355" spans="1:6" s="119" customFormat="1" ht="25.5">
      <c r="A355" s="61" t="s">
        <v>583</v>
      </c>
      <c r="B355" s="29" t="s">
        <v>1258</v>
      </c>
      <c r="C355" s="29" t="s">
        <v>1258</v>
      </c>
      <c r="D355" s="155">
        <f>20738.4/1000</f>
        <v>20.738400000000002</v>
      </c>
      <c r="E355" s="61" t="s">
        <v>1256</v>
      </c>
      <c r="F355" s="154"/>
    </row>
    <row r="356" spans="1:6" s="119" customFormat="1" ht="25.5">
      <c r="A356" s="61" t="s">
        <v>583</v>
      </c>
      <c r="B356" s="29" t="s">
        <v>1257</v>
      </c>
      <c r="C356" s="29" t="s">
        <v>1257</v>
      </c>
      <c r="D356" s="155">
        <f>3825.6/1000</f>
        <v>3.8256</v>
      </c>
      <c r="E356" s="61" t="s">
        <v>1256</v>
      </c>
      <c r="F356" s="154"/>
    </row>
    <row r="357" spans="1:6" s="119" customFormat="1" ht="25.5">
      <c r="A357" s="61" t="s">
        <v>583</v>
      </c>
      <c r="B357" s="29" t="s">
        <v>1255</v>
      </c>
      <c r="C357" s="29" t="s">
        <v>1255</v>
      </c>
      <c r="D357" s="155">
        <f>20893.56/1000</f>
        <v>20.89356</v>
      </c>
      <c r="E357" s="61" t="s">
        <v>1254</v>
      </c>
      <c r="F357" s="154"/>
    </row>
    <row r="358" spans="1:6" s="119" customFormat="1" ht="25.5">
      <c r="A358" s="61" t="s">
        <v>583</v>
      </c>
      <c r="B358" s="29" t="s">
        <v>1253</v>
      </c>
      <c r="C358" s="29" t="s">
        <v>1253</v>
      </c>
      <c r="D358" s="155">
        <f>70964.22/1000</f>
        <v>70.96422</v>
      </c>
      <c r="E358" s="61" t="s">
        <v>1250</v>
      </c>
      <c r="F358" s="154"/>
    </row>
    <row r="359" spans="1:6" s="119" customFormat="1" ht="25.5">
      <c r="A359" s="61" t="s">
        <v>583</v>
      </c>
      <c r="B359" s="29" t="s">
        <v>1252</v>
      </c>
      <c r="C359" s="29" t="s">
        <v>1252</v>
      </c>
      <c r="D359" s="155">
        <f>179981.32/1000</f>
        <v>179.98132</v>
      </c>
      <c r="E359" s="61" t="s">
        <v>1250</v>
      </c>
      <c r="F359" s="154"/>
    </row>
    <row r="360" spans="1:6" s="119" customFormat="1" ht="25.5">
      <c r="A360" s="61" t="s">
        <v>583</v>
      </c>
      <c r="B360" s="29" t="s">
        <v>1251</v>
      </c>
      <c r="C360" s="29" t="s">
        <v>1251</v>
      </c>
      <c r="D360" s="155">
        <f>140568.7/1000</f>
        <v>140.5687</v>
      </c>
      <c r="E360" s="61" t="s">
        <v>1250</v>
      </c>
      <c r="F360" s="154"/>
    </row>
    <row r="361" spans="1:6" s="119" customFormat="1" ht="38.25">
      <c r="A361" s="61" t="s">
        <v>583</v>
      </c>
      <c r="B361" s="29" t="s">
        <v>1249</v>
      </c>
      <c r="C361" s="29" t="s">
        <v>1249</v>
      </c>
      <c r="D361" s="155">
        <f>143888/1000</f>
        <v>143.888</v>
      </c>
      <c r="E361" s="61" t="s">
        <v>1248</v>
      </c>
      <c r="F361" s="154"/>
    </row>
    <row r="362" spans="1:6" s="119" customFormat="1" ht="25.5">
      <c r="A362" s="61" t="s">
        <v>583</v>
      </c>
      <c r="B362" s="29" t="s">
        <v>1247</v>
      </c>
      <c r="C362" s="29" t="s">
        <v>1247</v>
      </c>
      <c r="D362" s="155">
        <f>194910/1000</f>
        <v>194.91</v>
      </c>
      <c r="E362" s="61" t="s">
        <v>1244</v>
      </c>
      <c r="F362" s="154"/>
    </row>
    <row r="363" spans="1:6" s="119" customFormat="1" ht="25.5">
      <c r="A363" s="61" t="s">
        <v>583</v>
      </c>
      <c r="B363" s="29" t="s">
        <v>1246</v>
      </c>
      <c r="C363" s="29" t="s">
        <v>1246</v>
      </c>
      <c r="D363" s="155">
        <f>97110/1000</f>
        <v>97.11</v>
      </c>
      <c r="E363" s="61" t="s">
        <v>1244</v>
      </c>
      <c r="F363" s="154"/>
    </row>
    <row r="364" spans="1:6" s="119" customFormat="1" ht="25.5">
      <c r="A364" s="61" t="s">
        <v>583</v>
      </c>
      <c r="B364" s="29" t="s">
        <v>1245</v>
      </c>
      <c r="C364" s="29" t="s">
        <v>1245</v>
      </c>
      <c r="D364" s="155">
        <f>196392/1000</f>
        <v>196.392</v>
      </c>
      <c r="E364" s="61" t="s">
        <v>1244</v>
      </c>
      <c r="F364" s="154"/>
    </row>
    <row r="365" spans="1:6" s="119" customFormat="1" ht="25.5">
      <c r="A365" s="61" t="s">
        <v>583</v>
      </c>
      <c r="B365" s="29" t="s">
        <v>1243</v>
      </c>
      <c r="C365" s="29" t="s">
        <v>1243</v>
      </c>
      <c r="D365" s="155">
        <f>190456/1000</f>
        <v>190.456</v>
      </c>
      <c r="E365" s="61" t="s">
        <v>1108</v>
      </c>
      <c r="F365" s="154"/>
    </row>
    <row r="366" spans="1:6" s="119" customFormat="1" ht="25.5">
      <c r="A366" s="61" t="s">
        <v>583</v>
      </c>
      <c r="B366" s="29" t="s">
        <v>1242</v>
      </c>
      <c r="C366" s="29" t="s">
        <v>1242</v>
      </c>
      <c r="D366" s="155">
        <v>179.9991</v>
      </c>
      <c r="E366" s="61" t="s">
        <v>1108</v>
      </c>
      <c r="F366" s="154"/>
    </row>
    <row r="367" spans="1:6" s="119" customFormat="1" ht="25.5">
      <c r="A367" s="61" t="s">
        <v>583</v>
      </c>
      <c r="B367" s="29" t="s">
        <v>1241</v>
      </c>
      <c r="C367" s="29" t="s">
        <v>1241</v>
      </c>
      <c r="D367" s="155">
        <f>199998/1000</f>
        <v>199.998</v>
      </c>
      <c r="E367" s="61" t="s">
        <v>1108</v>
      </c>
      <c r="F367" s="154"/>
    </row>
    <row r="368" spans="1:6" s="119" customFormat="1" ht="25.5">
      <c r="A368" s="61" t="s">
        <v>583</v>
      </c>
      <c r="B368" s="29" t="s">
        <v>1240</v>
      </c>
      <c r="C368" s="29" t="s">
        <v>1240</v>
      </c>
      <c r="D368" s="155">
        <f>7200/1000</f>
        <v>7.2</v>
      </c>
      <c r="E368" s="61" t="s">
        <v>1236</v>
      </c>
      <c r="F368" s="154"/>
    </row>
    <row r="369" spans="1:6" s="119" customFormat="1" ht="25.5">
      <c r="A369" s="61" t="s">
        <v>583</v>
      </c>
      <c r="B369" s="29" t="s">
        <v>1239</v>
      </c>
      <c r="C369" s="29" t="s">
        <v>1239</v>
      </c>
      <c r="D369" s="155">
        <f>7200/1000</f>
        <v>7.2</v>
      </c>
      <c r="E369" s="61" t="s">
        <v>1236</v>
      </c>
      <c r="F369" s="154"/>
    </row>
    <row r="370" spans="1:6" s="119" customFormat="1" ht="25.5">
      <c r="A370" s="61" t="s">
        <v>583</v>
      </c>
      <c r="B370" s="29" t="s">
        <v>1238</v>
      </c>
      <c r="C370" s="29" t="s">
        <v>1238</v>
      </c>
      <c r="D370" s="155">
        <f>7200/1000</f>
        <v>7.2</v>
      </c>
      <c r="E370" s="61" t="s">
        <v>1236</v>
      </c>
      <c r="F370" s="154"/>
    </row>
    <row r="371" spans="1:6" s="119" customFormat="1" ht="25.5">
      <c r="A371" s="61" t="s">
        <v>583</v>
      </c>
      <c r="B371" s="29" t="s">
        <v>1237</v>
      </c>
      <c r="C371" s="29" t="s">
        <v>1237</v>
      </c>
      <c r="D371" s="155">
        <f>5200/1000</f>
        <v>5.2</v>
      </c>
      <c r="E371" s="61" t="s">
        <v>1236</v>
      </c>
      <c r="F371" s="154"/>
    </row>
    <row r="372" spans="1:6" s="119" customFormat="1" ht="25.5">
      <c r="A372" s="61" t="s">
        <v>583</v>
      </c>
      <c r="B372" s="29" t="s">
        <v>1235</v>
      </c>
      <c r="C372" s="29" t="s">
        <v>1235</v>
      </c>
      <c r="D372" s="155">
        <f>88740/1000</f>
        <v>88.74</v>
      </c>
      <c r="E372" s="61" t="s">
        <v>1232</v>
      </c>
      <c r="F372" s="154"/>
    </row>
    <row r="373" spans="1:6" s="119" customFormat="1" ht="25.5">
      <c r="A373" s="61" t="s">
        <v>583</v>
      </c>
      <c r="B373" s="29" t="s">
        <v>1234</v>
      </c>
      <c r="C373" s="29" t="s">
        <v>1234</v>
      </c>
      <c r="D373" s="155">
        <f>78492.2/1000</f>
        <v>78.4922</v>
      </c>
      <c r="E373" s="61" t="s">
        <v>1232</v>
      </c>
      <c r="F373" s="154"/>
    </row>
    <row r="374" spans="1:6" s="119" customFormat="1" ht="25.5">
      <c r="A374" s="61" t="s">
        <v>583</v>
      </c>
      <c r="B374" s="29" t="s">
        <v>1233</v>
      </c>
      <c r="C374" s="29" t="s">
        <v>1233</v>
      </c>
      <c r="D374" s="155">
        <f>50880.56/1000</f>
        <v>50.880559999999996</v>
      </c>
      <c r="E374" s="61" t="s">
        <v>1232</v>
      </c>
      <c r="F374" s="154"/>
    </row>
    <row r="375" spans="1:6" s="119" customFormat="1" ht="25.5">
      <c r="A375" s="61" t="s">
        <v>583</v>
      </c>
      <c r="B375" s="29" t="s">
        <v>1231</v>
      </c>
      <c r="C375" s="29" t="s">
        <v>1231</v>
      </c>
      <c r="D375" s="155">
        <f>176669.28/1000</f>
        <v>176.66928</v>
      </c>
      <c r="E375" s="61" t="s">
        <v>1100</v>
      </c>
      <c r="F375" s="154"/>
    </row>
    <row r="376" spans="1:6" s="119" customFormat="1" ht="25.5">
      <c r="A376" s="61" t="s">
        <v>583</v>
      </c>
      <c r="B376" s="29" t="s">
        <v>1230</v>
      </c>
      <c r="C376" s="29" t="s">
        <v>1230</v>
      </c>
      <c r="D376" s="155">
        <v>101.35508</v>
      </c>
      <c r="E376" s="61" t="s">
        <v>1097</v>
      </c>
      <c r="F376" s="154"/>
    </row>
    <row r="377" spans="1:6" s="119" customFormat="1" ht="25.5">
      <c r="A377" s="61" t="s">
        <v>583</v>
      </c>
      <c r="B377" s="29" t="s">
        <v>1229</v>
      </c>
      <c r="C377" s="29" t="s">
        <v>1229</v>
      </c>
      <c r="D377" s="155">
        <f>194719.16/1000</f>
        <v>194.71916000000002</v>
      </c>
      <c r="E377" s="61" t="s">
        <v>1228</v>
      </c>
      <c r="F377" s="154"/>
    </row>
    <row r="378" spans="1:6" s="119" customFormat="1" ht="25.5">
      <c r="A378" s="61" t="s">
        <v>583</v>
      </c>
      <c r="B378" s="29" t="s">
        <v>1227</v>
      </c>
      <c r="C378" s="29" t="s">
        <v>1227</v>
      </c>
      <c r="D378" s="155">
        <f>199954/1000</f>
        <v>199.954</v>
      </c>
      <c r="E378" s="61" t="s">
        <v>1223</v>
      </c>
      <c r="F378" s="154"/>
    </row>
    <row r="379" spans="1:6" s="119" customFormat="1" ht="25.5">
      <c r="A379" s="61" t="s">
        <v>583</v>
      </c>
      <c r="B379" s="29" t="s">
        <v>1226</v>
      </c>
      <c r="C379" s="29" t="s">
        <v>1226</v>
      </c>
      <c r="D379" s="155">
        <f>198293/1000</f>
        <v>198.293</v>
      </c>
      <c r="E379" s="61" t="s">
        <v>1223</v>
      </c>
      <c r="F379" s="154"/>
    </row>
    <row r="380" spans="1:6" s="119" customFormat="1" ht="25.5">
      <c r="A380" s="61" t="s">
        <v>583</v>
      </c>
      <c r="B380" s="29" t="s">
        <v>1225</v>
      </c>
      <c r="C380" s="29" t="s">
        <v>1225</v>
      </c>
      <c r="D380" s="155">
        <f>198625/1000</f>
        <v>198.625</v>
      </c>
      <c r="E380" s="61" t="s">
        <v>1223</v>
      </c>
      <c r="F380" s="154"/>
    </row>
    <row r="381" spans="1:6" s="119" customFormat="1" ht="25.5">
      <c r="A381" s="61" t="s">
        <v>583</v>
      </c>
      <c r="B381" s="29" t="s">
        <v>1224</v>
      </c>
      <c r="C381" s="29" t="s">
        <v>1224</v>
      </c>
      <c r="D381" s="155">
        <f>198717/1000</f>
        <v>198.717</v>
      </c>
      <c r="E381" s="61" t="s">
        <v>1223</v>
      </c>
      <c r="F381" s="154"/>
    </row>
    <row r="382" spans="1:6" s="119" customFormat="1" ht="38.25">
      <c r="A382" s="61" t="s">
        <v>583</v>
      </c>
      <c r="B382" s="29" t="s">
        <v>1222</v>
      </c>
      <c r="C382" s="29" t="s">
        <v>1222</v>
      </c>
      <c r="D382" s="155">
        <f>101013.16/1000</f>
        <v>101.01316</v>
      </c>
      <c r="E382" s="61" t="s">
        <v>1220</v>
      </c>
      <c r="F382" s="154"/>
    </row>
    <row r="383" spans="1:6" s="119" customFormat="1" ht="25.5">
      <c r="A383" s="61" t="s">
        <v>583</v>
      </c>
      <c r="B383" s="29" t="s">
        <v>1221</v>
      </c>
      <c r="C383" s="29" t="s">
        <v>1221</v>
      </c>
      <c r="D383" s="155">
        <f>89779.88/1000</f>
        <v>89.77988</v>
      </c>
      <c r="E383" s="61" t="s">
        <v>1220</v>
      </c>
      <c r="F383" s="154"/>
    </row>
    <row r="384" spans="1:6" s="119" customFormat="1" ht="25.5">
      <c r="A384" s="61" t="s">
        <v>583</v>
      </c>
      <c r="B384" s="29" t="s">
        <v>1219</v>
      </c>
      <c r="C384" s="29" t="s">
        <v>1219</v>
      </c>
      <c r="D384" s="155">
        <f>60261.22/1000</f>
        <v>60.26122</v>
      </c>
      <c r="E384" s="61" t="s">
        <v>1218</v>
      </c>
      <c r="F384" s="154"/>
    </row>
    <row r="385" spans="1:6" s="119" customFormat="1" ht="25.5">
      <c r="A385" s="61" t="s">
        <v>583</v>
      </c>
      <c r="B385" s="29" t="s">
        <v>1217</v>
      </c>
      <c r="C385" s="29" t="s">
        <v>1217</v>
      </c>
      <c r="D385" s="155">
        <f>199774.39/1000</f>
        <v>199.77439</v>
      </c>
      <c r="E385" s="61" t="s">
        <v>1082</v>
      </c>
      <c r="F385" s="154"/>
    </row>
    <row r="386" spans="1:6" s="119" customFormat="1" ht="25.5">
      <c r="A386" s="61" t="s">
        <v>583</v>
      </c>
      <c r="B386" s="29" t="s">
        <v>1216</v>
      </c>
      <c r="C386" s="29" t="s">
        <v>1216</v>
      </c>
      <c r="D386" s="155">
        <v>199.78993</v>
      </c>
      <c r="E386" s="61" t="s">
        <v>1082</v>
      </c>
      <c r="F386" s="154"/>
    </row>
    <row r="387" spans="1:6" s="119" customFormat="1" ht="25.5">
      <c r="A387" s="61" t="s">
        <v>583</v>
      </c>
      <c r="B387" s="29" t="s">
        <v>1215</v>
      </c>
      <c r="C387" s="29" t="s">
        <v>1215</v>
      </c>
      <c r="D387" s="155">
        <f>199789.9/1000</f>
        <v>199.7899</v>
      </c>
      <c r="E387" s="61" t="s">
        <v>1082</v>
      </c>
      <c r="F387" s="154"/>
    </row>
    <row r="388" spans="1:6" s="119" customFormat="1" ht="25.5">
      <c r="A388" s="61" t="s">
        <v>583</v>
      </c>
      <c r="B388" s="29" t="s">
        <v>1214</v>
      </c>
      <c r="C388" s="29" t="s">
        <v>1214</v>
      </c>
      <c r="D388" s="155">
        <f>198027/1000</f>
        <v>198.027</v>
      </c>
      <c r="E388" s="61" t="s">
        <v>1212</v>
      </c>
      <c r="F388" s="154"/>
    </row>
    <row r="389" spans="1:6" s="119" customFormat="1" ht="38.25">
      <c r="A389" s="61" t="s">
        <v>583</v>
      </c>
      <c r="B389" s="29" t="s">
        <v>1213</v>
      </c>
      <c r="C389" s="29" t="s">
        <v>1213</v>
      </c>
      <c r="D389" s="155">
        <f>199602/1000</f>
        <v>199.602</v>
      </c>
      <c r="E389" s="61" t="s">
        <v>1212</v>
      </c>
      <c r="F389" s="154"/>
    </row>
    <row r="390" spans="1:6" s="119" customFormat="1" ht="25.5">
      <c r="A390" s="61" t="s">
        <v>583</v>
      </c>
      <c r="B390" s="29" t="s">
        <v>1211</v>
      </c>
      <c r="C390" s="29" t="s">
        <v>1211</v>
      </c>
      <c r="D390" s="155">
        <f>5184/1000</f>
        <v>5.184</v>
      </c>
      <c r="E390" s="61" t="s">
        <v>1190</v>
      </c>
      <c r="F390" s="154"/>
    </row>
    <row r="391" spans="1:6" s="119" customFormat="1" ht="25.5">
      <c r="A391" s="61" t="s">
        <v>583</v>
      </c>
      <c r="B391" s="29" t="s">
        <v>1210</v>
      </c>
      <c r="C391" s="29" t="s">
        <v>1210</v>
      </c>
      <c r="D391" s="155">
        <f>4200/1000</f>
        <v>4.2</v>
      </c>
      <c r="E391" s="61" t="s">
        <v>1190</v>
      </c>
      <c r="F391" s="154"/>
    </row>
    <row r="392" spans="1:6" s="119" customFormat="1" ht="25.5">
      <c r="A392" s="61" t="s">
        <v>583</v>
      </c>
      <c r="B392" s="29" t="s">
        <v>1209</v>
      </c>
      <c r="C392" s="29" t="s">
        <v>1209</v>
      </c>
      <c r="D392" s="155">
        <f>10915.2/1000</f>
        <v>10.9152</v>
      </c>
      <c r="E392" s="61" t="s">
        <v>1190</v>
      </c>
      <c r="F392" s="154"/>
    </row>
    <row r="393" spans="1:6" s="119" customFormat="1" ht="25.5">
      <c r="A393" s="61" t="s">
        <v>583</v>
      </c>
      <c r="B393" s="29" t="s">
        <v>1208</v>
      </c>
      <c r="C393" s="29" t="s">
        <v>1208</v>
      </c>
      <c r="D393" s="155">
        <f>11493.6/1000</f>
        <v>11.4936</v>
      </c>
      <c r="E393" s="61" t="s">
        <v>1190</v>
      </c>
      <c r="F393" s="154"/>
    </row>
    <row r="394" spans="1:6" s="119" customFormat="1" ht="25.5">
      <c r="A394" s="61" t="s">
        <v>583</v>
      </c>
      <c r="B394" s="29" t="s">
        <v>1207</v>
      </c>
      <c r="C394" s="29" t="s">
        <v>1207</v>
      </c>
      <c r="D394" s="155">
        <f>5643.6/1000</f>
        <v>5.6436</v>
      </c>
      <c r="E394" s="61" t="s">
        <v>1190</v>
      </c>
      <c r="F394" s="154"/>
    </row>
    <row r="395" spans="1:6" s="119" customFormat="1" ht="38.25">
      <c r="A395" s="61" t="s">
        <v>583</v>
      </c>
      <c r="B395" s="29" t="s">
        <v>1206</v>
      </c>
      <c r="C395" s="29" t="s">
        <v>1206</v>
      </c>
      <c r="D395" s="155">
        <f>3925.2/1000</f>
        <v>3.9252</v>
      </c>
      <c r="E395" s="61" t="s">
        <v>1190</v>
      </c>
      <c r="F395" s="154"/>
    </row>
    <row r="396" spans="1:6" s="119" customFormat="1" ht="25.5">
      <c r="A396" s="61" t="s">
        <v>583</v>
      </c>
      <c r="B396" s="29" t="s">
        <v>1205</v>
      </c>
      <c r="C396" s="29" t="s">
        <v>1205</v>
      </c>
      <c r="D396" s="155">
        <f>3925.2/1000</f>
        <v>3.9252</v>
      </c>
      <c r="E396" s="61" t="s">
        <v>1190</v>
      </c>
      <c r="F396" s="154"/>
    </row>
    <row r="397" spans="1:6" s="119" customFormat="1" ht="38.25">
      <c r="A397" s="61" t="s">
        <v>583</v>
      </c>
      <c r="B397" s="29" t="s">
        <v>1204</v>
      </c>
      <c r="C397" s="29" t="s">
        <v>1204</v>
      </c>
      <c r="D397" s="155">
        <f>3925.2/1000</f>
        <v>3.9252</v>
      </c>
      <c r="E397" s="61" t="s">
        <v>1190</v>
      </c>
      <c r="F397" s="154"/>
    </row>
    <row r="398" spans="1:6" s="119" customFormat="1" ht="25.5">
      <c r="A398" s="61" t="s">
        <v>583</v>
      </c>
      <c r="B398" s="29" t="s">
        <v>1203</v>
      </c>
      <c r="C398" s="29" t="s">
        <v>1203</v>
      </c>
      <c r="D398" s="155">
        <f>12734.4/1000</f>
        <v>12.734399999999999</v>
      </c>
      <c r="E398" s="61" t="s">
        <v>1190</v>
      </c>
      <c r="F398" s="154"/>
    </row>
    <row r="399" spans="1:6" s="119" customFormat="1" ht="25.5">
      <c r="A399" s="61" t="s">
        <v>583</v>
      </c>
      <c r="B399" s="29" t="s">
        <v>1202</v>
      </c>
      <c r="C399" s="29" t="s">
        <v>1202</v>
      </c>
      <c r="D399" s="155">
        <f>3716.4/1000</f>
        <v>3.7164</v>
      </c>
      <c r="E399" s="61" t="s">
        <v>1190</v>
      </c>
      <c r="F399" s="154"/>
    </row>
    <row r="400" spans="1:6" s="119" customFormat="1" ht="25.5">
      <c r="A400" s="61" t="s">
        <v>583</v>
      </c>
      <c r="B400" s="29" t="s">
        <v>1201</v>
      </c>
      <c r="C400" s="29" t="s">
        <v>1201</v>
      </c>
      <c r="D400" s="155">
        <f>7892.4/1000</f>
        <v>7.892399999999999</v>
      </c>
      <c r="E400" s="61" t="s">
        <v>1190</v>
      </c>
      <c r="F400" s="154"/>
    </row>
    <row r="401" spans="1:6" s="119" customFormat="1" ht="25.5">
      <c r="A401" s="61" t="s">
        <v>583</v>
      </c>
      <c r="B401" s="29" t="s">
        <v>1200</v>
      </c>
      <c r="C401" s="29" t="s">
        <v>1200</v>
      </c>
      <c r="D401" s="155">
        <v>4.0116</v>
      </c>
      <c r="E401" s="61" t="s">
        <v>1190</v>
      </c>
      <c r="F401" s="154"/>
    </row>
    <row r="402" spans="1:6" s="119" customFormat="1" ht="25.5">
      <c r="A402" s="61" t="s">
        <v>583</v>
      </c>
      <c r="B402" s="29" t="s">
        <v>1199</v>
      </c>
      <c r="C402" s="29" t="s">
        <v>1199</v>
      </c>
      <c r="D402" s="155">
        <f>9822/1000</f>
        <v>9.822</v>
      </c>
      <c r="E402" s="61" t="s">
        <v>1190</v>
      </c>
      <c r="F402" s="154"/>
    </row>
    <row r="403" spans="1:6" s="119" customFormat="1" ht="25.5">
      <c r="A403" s="61" t="s">
        <v>583</v>
      </c>
      <c r="B403" s="29" t="s">
        <v>1198</v>
      </c>
      <c r="C403" s="29" t="s">
        <v>1198</v>
      </c>
      <c r="D403" s="155">
        <v>5.7696</v>
      </c>
      <c r="E403" s="61" t="s">
        <v>1190</v>
      </c>
      <c r="F403" s="154"/>
    </row>
    <row r="404" spans="1:6" s="119" customFormat="1" ht="38.25">
      <c r="A404" s="61" t="s">
        <v>583</v>
      </c>
      <c r="B404" s="29" t="s">
        <v>1197</v>
      </c>
      <c r="C404" s="29" t="s">
        <v>1197</v>
      </c>
      <c r="D404" s="155">
        <f>7032/1000</f>
        <v>7.032</v>
      </c>
      <c r="E404" s="61" t="s">
        <v>1190</v>
      </c>
      <c r="F404" s="154"/>
    </row>
    <row r="405" spans="1:6" s="119" customFormat="1" ht="38.25">
      <c r="A405" s="61" t="s">
        <v>583</v>
      </c>
      <c r="B405" s="29" t="s">
        <v>1196</v>
      </c>
      <c r="C405" s="29" t="s">
        <v>1196</v>
      </c>
      <c r="D405" s="155">
        <v>18.7872</v>
      </c>
      <c r="E405" s="61" t="s">
        <v>1190</v>
      </c>
      <c r="F405" s="154"/>
    </row>
    <row r="406" spans="1:6" s="119" customFormat="1" ht="25.5">
      <c r="A406" s="61" t="s">
        <v>583</v>
      </c>
      <c r="B406" s="29" t="s">
        <v>1195</v>
      </c>
      <c r="C406" s="29" t="s">
        <v>1195</v>
      </c>
      <c r="D406" s="155">
        <f>14418/1000</f>
        <v>14.418</v>
      </c>
      <c r="E406" s="61" t="s">
        <v>1190</v>
      </c>
      <c r="F406" s="154"/>
    </row>
    <row r="407" spans="1:6" s="119" customFormat="1" ht="38.25">
      <c r="A407" s="61" t="s">
        <v>583</v>
      </c>
      <c r="B407" s="29" t="s">
        <v>1194</v>
      </c>
      <c r="C407" s="29" t="s">
        <v>1194</v>
      </c>
      <c r="D407" s="155">
        <f>5479.2/1000</f>
        <v>5.4792</v>
      </c>
      <c r="E407" s="61" t="s">
        <v>1190</v>
      </c>
      <c r="F407" s="154"/>
    </row>
    <row r="408" spans="1:6" s="119" customFormat="1" ht="38.25">
      <c r="A408" s="61" t="s">
        <v>583</v>
      </c>
      <c r="B408" s="29" t="s">
        <v>1193</v>
      </c>
      <c r="C408" s="29" t="s">
        <v>1193</v>
      </c>
      <c r="D408" s="155">
        <v>7.0452</v>
      </c>
      <c r="E408" s="61" t="s">
        <v>1190</v>
      </c>
      <c r="F408" s="154"/>
    </row>
    <row r="409" spans="1:6" s="119" customFormat="1" ht="25.5">
      <c r="A409" s="61" t="s">
        <v>583</v>
      </c>
      <c r="B409" s="29" t="s">
        <v>1192</v>
      </c>
      <c r="C409" s="29" t="s">
        <v>1192</v>
      </c>
      <c r="D409" s="155">
        <f>5743.2/1000</f>
        <v>5.7432</v>
      </c>
      <c r="E409" s="61" t="s">
        <v>1190</v>
      </c>
      <c r="F409" s="154"/>
    </row>
    <row r="410" spans="1:6" s="119" customFormat="1" ht="38.25">
      <c r="A410" s="61" t="s">
        <v>583</v>
      </c>
      <c r="B410" s="29" t="s">
        <v>1191</v>
      </c>
      <c r="C410" s="29" t="s">
        <v>1191</v>
      </c>
      <c r="D410" s="155">
        <v>18.2988</v>
      </c>
      <c r="E410" s="61" t="s">
        <v>1190</v>
      </c>
      <c r="F410" s="154"/>
    </row>
    <row r="411" spans="1:6" s="119" customFormat="1" ht="25.5">
      <c r="A411" s="61" t="s">
        <v>583</v>
      </c>
      <c r="B411" s="29" t="s">
        <v>1189</v>
      </c>
      <c r="C411" s="29" t="s">
        <v>1189</v>
      </c>
      <c r="D411" s="155">
        <f>103201.76/1000</f>
        <v>103.20176</v>
      </c>
      <c r="E411" s="61" t="s">
        <v>817</v>
      </c>
      <c r="F411" s="154"/>
    </row>
    <row r="412" spans="1:6" s="119" customFormat="1" ht="25.5">
      <c r="A412" s="61" t="s">
        <v>583</v>
      </c>
      <c r="B412" s="29" t="s">
        <v>1188</v>
      </c>
      <c r="C412" s="29" t="s">
        <v>1188</v>
      </c>
      <c r="D412" s="155">
        <f>198596.24/1000</f>
        <v>198.59624</v>
      </c>
      <c r="E412" s="61" t="s">
        <v>817</v>
      </c>
      <c r="F412" s="154"/>
    </row>
    <row r="413" spans="1:6" s="119" customFormat="1" ht="38.25">
      <c r="A413" s="61" t="s">
        <v>583</v>
      </c>
      <c r="B413" s="29" t="s">
        <v>1187</v>
      </c>
      <c r="C413" s="29" t="s">
        <v>1187</v>
      </c>
      <c r="D413" s="155">
        <f>33975/1000</f>
        <v>33.975</v>
      </c>
      <c r="E413" s="61" t="s">
        <v>1045</v>
      </c>
      <c r="F413" s="154"/>
    </row>
    <row r="414" spans="1:6" s="119" customFormat="1" ht="38.25">
      <c r="A414" s="61" t="s">
        <v>583</v>
      </c>
      <c r="B414" s="29" t="s">
        <v>1186</v>
      </c>
      <c r="C414" s="29" t="s">
        <v>1186</v>
      </c>
      <c r="D414" s="155">
        <f>36864/1000</f>
        <v>36.864</v>
      </c>
      <c r="E414" s="61" t="s">
        <v>893</v>
      </c>
      <c r="F414" s="154"/>
    </row>
    <row r="415" spans="1:6" s="119" customFormat="1" ht="25.5">
      <c r="A415" s="61" t="s">
        <v>583</v>
      </c>
      <c r="B415" s="29" t="s">
        <v>1185</v>
      </c>
      <c r="C415" s="29" t="s">
        <v>1185</v>
      </c>
      <c r="D415" s="155">
        <f>180952/1000</f>
        <v>180.952</v>
      </c>
      <c r="E415" s="61" t="s">
        <v>1038</v>
      </c>
      <c r="F415" s="154"/>
    </row>
    <row r="416" spans="1:6" s="119" customFormat="1" ht="25.5">
      <c r="A416" s="61" t="s">
        <v>583</v>
      </c>
      <c r="B416" s="29" t="s">
        <v>1184</v>
      </c>
      <c r="C416" s="29" t="s">
        <v>1184</v>
      </c>
      <c r="D416" s="155">
        <f>10190/1000</f>
        <v>10.19</v>
      </c>
      <c r="E416" s="61" t="s">
        <v>1174</v>
      </c>
      <c r="F416" s="154"/>
    </row>
    <row r="417" spans="1:6" s="119" customFormat="1" ht="25.5">
      <c r="A417" s="61" t="s">
        <v>583</v>
      </c>
      <c r="B417" s="29" t="s">
        <v>1183</v>
      </c>
      <c r="C417" s="29" t="s">
        <v>1183</v>
      </c>
      <c r="D417" s="155">
        <f>8688/1000</f>
        <v>8.688</v>
      </c>
      <c r="E417" s="61" t="s">
        <v>1174</v>
      </c>
      <c r="F417" s="154"/>
    </row>
    <row r="418" spans="1:6" s="119" customFormat="1" ht="25.5">
      <c r="A418" s="61" t="s">
        <v>583</v>
      </c>
      <c r="B418" s="29" t="s">
        <v>1182</v>
      </c>
      <c r="C418" s="29" t="s">
        <v>1182</v>
      </c>
      <c r="D418" s="155">
        <f>9888/1000</f>
        <v>9.888</v>
      </c>
      <c r="E418" s="61" t="s">
        <v>1174</v>
      </c>
      <c r="F418" s="154"/>
    </row>
    <row r="419" spans="1:6" s="119" customFormat="1" ht="12.75">
      <c r="A419" s="61" t="s">
        <v>583</v>
      </c>
      <c r="B419" s="29" t="s">
        <v>1181</v>
      </c>
      <c r="C419" s="29" t="s">
        <v>1181</v>
      </c>
      <c r="D419" s="155">
        <f>5550/1000</f>
        <v>5.55</v>
      </c>
      <c r="E419" s="61" t="s">
        <v>1174</v>
      </c>
      <c r="F419" s="154"/>
    </row>
    <row r="420" spans="1:6" s="119" customFormat="1" ht="25.5">
      <c r="A420" s="61" t="s">
        <v>583</v>
      </c>
      <c r="B420" s="29" t="s">
        <v>1180</v>
      </c>
      <c r="C420" s="29" t="s">
        <v>1180</v>
      </c>
      <c r="D420" s="155">
        <f>30700/1000</f>
        <v>30.7</v>
      </c>
      <c r="E420" s="61" t="s">
        <v>1174</v>
      </c>
      <c r="F420" s="154"/>
    </row>
    <row r="421" spans="1:6" s="119" customFormat="1" ht="25.5">
      <c r="A421" s="61" t="s">
        <v>583</v>
      </c>
      <c r="B421" s="29" t="s">
        <v>1179</v>
      </c>
      <c r="C421" s="29" t="s">
        <v>1179</v>
      </c>
      <c r="D421" s="155">
        <f>103900/1000</f>
        <v>103.9</v>
      </c>
      <c r="E421" s="61" t="s">
        <v>1174</v>
      </c>
      <c r="F421" s="154"/>
    </row>
    <row r="422" spans="1:6" s="119" customFormat="1" ht="25.5">
      <c r="A422" s="61" t="s">
        <v>583</v>
      </c>
      <c r="B422" s="29" t="s">
        <v>1178</v>
      </c>
      <c r="C422" s="29" t="s">
        <v>1178</v>
      </c>
      <c r="D422" s="155">
        <f>77600/1000</f>
        <v>77.6</v>
      </c>
      <c r="E422" s="61" t="s">
        <v>1174</v>
      </c>
      <c r="F422" s="154"/>
    </row>
    <row r="423" spans="1:6" s="119" customFormat="1" ht="25.5">
      <c r="A423" s="61" t="s">
        <v>583</v>
      </c>
      <c r="B423" s="29" t="s">
        <v>1177</v>
      </c>
      <c r="C423" s="29" t="s">
        <v>1177</v>
      </c>
      <c r="D423" s="155">
        <f>98899/1000</f>
        <v>98.899</v>
      </c>
      <c r="E423" s="61" t="s">
        <v>1174</v>
      </c>
      <c r="F423" s="154"/>
    </row>
    <row r="424" spans="1:6" s="119" customFormat="1" ht="25.5">
      <c r="A424" s="61" t="s">
        <v>583</v>
      </c>
      <c r="B424" s="29" t="s">
        <v>1176</v>
      </c>
      <c r="C424" s="29" t="s">
        <v>1176</v>
      </c>
      <c r="D424" s="155">
        <f>108060/1000</f>
        <v>108.06</v>
      </c>
      <c r="E424" s="61" t="s">
        <v>1174</v>
      </c>
      <c r="F424" s="154"/>
    </row>
    <row r="425" spans="1:6" s="119" customFormat="1" ht="25.5">
      <c r="A425" s="61" t="s">
        <v>583</v>
      </c>
      <c r="B425" s="29" t="s">
        <v>1175</v>
      </c>
      <c r="C425" s="29" t="s">
        <v>1175</v>
      </c>
      <c r="D425" s="155">
        <f>113085/1000</f>
        <v>113.085</v>
      </c>
      <c r="E425" s="61" t="s">
        <v>1174</v>
      </c>
      <c r="F425" s="154"/>
    </row>
    <row r="426" spans="1:6" s="119" customFormat="1" ht="25.5">
      <c r="A426" s="61" t="s">
        <v>583</v>
      </c>
      <c r="B426" s="29" t="s">
        <v>1173</v>
      </c>
      <c r="C426" s="29" t="s">
        <v>1173</v>
      </c>
      <c r="D426" s="155">
        <f>176134.75/1000</f>
        <v>176.13475</v>
      </c>
      <c r="E426" s="61" t="s">
        <v>1171</v>
      </c>
      <c r="F426" s="154"/>
    </row>
    <row r="427" spans="1:6" s="119" customFormat="1" ht="25.5">
      <c r="A427" s="61" t="s">
        <v>583</v>
      </c>
      <c r="B427" s="29" t="s">
        <v>1172</v>
      </c>
      <c r="C427" s="29" t="s">
        <v>1172</v>
      </c>
      <c r="D427" s="155">
        <v>63.36653</v>
      </c>
      <c r="E427" s="61" t="s">
        <v>1171</v>
      </c>
      <c r="F427" s="154"/>
    </row>
    <row r="428" spans="1:6" s="119" customFormat="1" ht="25.5">
      <c r="A428" s="61" t="s">
        <v>583</v>
      </c>
      <c r="B428" s="29" t="s">
        <v>1170</v>
      </c>
      <c r="C428" s="29" t="s">
        <v>1170</v>
      </c>
      <c r="D428" s="155">
        <f>90951/1000</f>
        <v>90.951</v>
      </c>
      <c r="E428" s="61" t="s">
        <v>1168</v>
      </c>
      <c r="F428" s="154"/>
    </row>
    <row r="429" spans="1:6" s="119" customFormat="1" ht="25.5">
      <c r="A429" s="61" t="s">
        <v>583</v>
      </c>
      <c r="B429" s="29" t="s">
        <v>1169</v>
      </c>
      <c r="C429" s="29" t="s">
        <v>1169</v>
      </c>
      <c r="D429" s="155">
        <f>91214/1000</f>
        <v>91.214</v>
      </c>
      <c r="E429" s="61" t="s">
        <v>1168</v>
      </c>
      <c r="F429" s="154"/>
    </row>
    <row r="430" spans="1:6" s="119" customFormat="1" ht="25.5">
      <c r="A430" s="61" t="s">
        <v>583</v>
      </c>
      <c r="B430" s="29" t="s">
        <v>1167</v>
      </c>
      <c r="C430" s="29" t="s">
        <v>1167</v>
      </c>
      <c r="D430" s="155">
        <f>100967/1000</f>
        <v>100.967</v>
      </c>
      <c r="E430" s="61" t="s">
        <v>1166</v>
      </c>
      <c r="F430" s="154"/>
    </row>
    <row r="431" spans="1:6" s="119" customFormat="1" ht="12.75">
      <c r="A431" s="61" t="s">
        <v>583</v>
      </c>
      <c r="B431" s="56"/>
      <c r="C431" s="56"/>
      <c r="D431" s="156">
        <v>369.83</v>
      </c>
      <c r="E431" s="29" t="s">
        <v>1165</v>
      </c>
      <c r="F431" s="154"/>
    </row>
    <row r="432" spans="1:7" s="119" customFormat="1" ht="25.5">
      <c r="A432" s="61" t="s">
        <v>583</v>
      </c>
      <c r="B432" s="29" t="s">
        <v>1164</v>
      </c>
      <c r="C432" s="29" t="s">
        <v>1164</v>
      </c>
      <c r="D432" s="155">
        <f>19476/1000</f>
        <v>19.476</v>
      </c>
      <c r="E432" s="56" t="s">
        <v>1154</v>
      </c>
      <c r="F432" s="154"/>
      <c r="G432" s="153"/>
    </row>
    <row r="433" spans="1:7" s="119" customFormat="1" ht="25.5">
      <c r="A433" s="61" t="s">
        <v>583</v>
      </c>
      <c r="B433" s="29" t="s">
        <v>1163</v>
      </c>
      <c r="C433" s="29" t="s">
        <v>1163</v>
      </c>
      <c r="D433" s="155">
        <f>33288/1000</f>
        <v>33.288</v>
      </c>
      <c r="E433" s="56" t="s">
        <v>1154</v>
      </c>
      <c r="F433" s="154"/>
      <c r="G433" s="153"/>
    </row>
    <row r="434" spans="1:7" s="119" customFormat="1" ht="25.5">
      <c r="A434" s="61" t="s">
        <v>583</v>
      </c>
      <c r="B434" s="29" t="s">
        <v>1162</v>
      </c>
      <c r="C434" s="29" t="s">
        <v>1162</v>
      </c>
      <c r="D434" s="155">
        <f>148231.2/1000</f>
        <v>148.2312</v>
      </c>
      <c r="E434" s="56" t="s">
        <v>1154</v>
      </c>
      <c r="F434" s="154"/>
      <c r="G434" s="153"/>
    </row>
    <row r="435" spans="1:7" s="119" customFormat="1" ht="25.5">
      <c r="A435" s="61" t="s">
        <v>583</v>
      </c>
      <c r="B435" s="29" t="s">
        <v>1161</v>
      </c>
      <c r="C435" s="29" t="s">
        <v>1161</v>
      </c>
      <c r="D435" s="155">
        <f>73780.8/1000</f>
        <v>73.7808</v>
      </c>
      <c r="E435" s="56" t="s">
        <v>1154</v>
      </c>
      <c r="F435" s="154"/>
      <c r="G435" s="153"/>
    </row>
    <row r="436" spans="1:7" s="119" customFormat="1" ht="12.75">
      <c r="A436" s="61" t="s">
        <v>583</v>
      </c>
      <c r="B436" s="29" t="s">
        <v>1160</v>
      </c>
      <c r="C436" s="29" t="s">
        <v>1160</v>
      </c>
      <c r="D436" s="155">
        <f>57765.88/1000</f>
        <v>57.765879999999996</v>
      </c>
      <c r="E436" s="56" t="s">
        <v>1154</v>
      </c>
      <c r="F436" s="154"/>
      <c r="G436" s="153"/>
    </row>
    <row r="437" spans="1:7" s="119" customFormat="1" ht="12.75">
      <c r="A437" s="61" t="s">
        <v>583</v>
      </c>
      <c r="B437" s="29" t="s">
        <v>1159</v>
      </c>
      <c r="C437" s="29" t="s">
        <v>1159</v>
      </c>
      <c r="D437" s="155">
        <f>50927.57/1000</f>
        <v>50.92757</v>
      </c>
      <c r="E437" s="56" t="s">
        <v>1154</v>
      </c>
      <c r="F437" s="154"/>
      <c r="G437" s="153"/>
    </row>
    <row r="438" spans="1:7" s="119" customFormat="1" ht="25.5">
      <c r="A438" s="61" t="s">
        <v>583</v>
      </c>
      <c r="B438" s="29" t="s">
        <v>1158</v>
      </c>
      <c r="C438" s="29" t="s">
        <v>1158</v>
      </c>
      <c r="D438" s="155">
        <f>73860/1000</f>
        <v>73.86</v>
      </c>
      <c r="E438" s="56" t="s">
        <v>1154</v>
      </c>
      <c r="F438" s="154"/>
      <c r="G438" s="153"/>
    </row>
    <row r="439" spans="1:7" s="119" customFormat="1" ht="25.5">
      <c r="A439" s="61" t="s">
        <v>583</v>
      </c>
      <c r="B439" s="29" t="s">
        <v>1157</v>
      </c>
      <c r="C439" s="29" t="s">
        <v>1157</v>
      </c>
      <c r="D439" s="155">
        <f>60108/1000</f>
        <v>60.108</v>
      </c>
      <c r="E439" s="56" t="s">
        <v>1154</v>
      </c>
      <c r="F439" s="154"/>
      <c r="G439" s="153"/>
    </row>
    <row r="440" spans="1:7" s="119" customFormat="1" ht="25.5">
      <c r="A440" s="61" t="s">
        <v>583</v>
      </c>
      <c r="B440" s="29" t="s">
        <v>1156</v>
      </c>
      <c r="C440" s="29" t="s">
        <v>1156</v>
      </c>
      <c r="D440" s="155">
        <f>19344/1000</f>
        <v>19.344</v>
      </c>
      <c r="E440" s="56" t="s">
        <v>1154</v>
      </c>
      <c r="F440" s="154"/>
      <c r="G440" s="153"/>
    </row>
    <row r="441" spans="1:7" s="119" customFormat="1" ht="25.5">
      <c r="A441" s="61" t="s">
        <v>583</v>
      </c>
      <c r="B441" s="29" t="s">
        <v>1155</v>
      </c>
      <c r="C441" s="29" t="s">
        <v>1155</v>
      </c>
      <c r="D441" s="155">
        <f>38978.4/1000</f>
        <v>38.9784</v>
      </c>
      <c r="E441" s="56" t="s">
        <v>1154</v>
      </c>
      <c r="F441" s="154"/>
      <c r="G441" s="153"/>
    </row>
    <row r="442" spans="1:7" s="119" customFormat="1" ht="25.5">
      <c r="A442" s="61" t="s">
        <v>583</v>
      </c>
      <c r="B442" s="29" t="s">
        <v>1153</v>
      </c>
      <c r="C442" s="29" t="s">
        <v>1153</v>
      </c>
      <c r="D442" s="155">
        <f>71318.66/1000</f>
        <v>71.31866000000001</v>
      </c>
      <c r="E442" s="56" t="s">
        <v>1149</v>
      </c>
      <c r="F442" s="154"/>
      <c r="G442" s="153"/>
    </row>
    <row r="443" spans="1:7" s="119" customFormat="1" ht="25.5">
      <c r="A443" s="61" t="s">
        <v>583</v>
      </c>
      <c r="B443" s="29" t="s">
        <v>1152</v>
      </c>
      <c r="C443" s="29" t="s">
        <v>1152</v>
      </c>
      <c r="D443" s="155">
        <f>71318.66/1000</f>
        <v>71.31866000000001</v>
      </c>
      <c r="E443" s="56" t="s">
        <v>1149</v>
      </c>
      <c r="F443" s="154"/>
      <c r="G443" s="153"/>
    </row>
    <row r="444" spans="1:7" s="119" customFormat="1" ht="25.5">
      <c r="A444" s="61" t="s">
        <v>583</v>
      </c>
      <c r="B444" s="29" t="s">
        <v>1151</v>
      </c>
      <c r="C444" s="29" t="s">
        <v>1151</v>
      </c>
      <c r="D444" s="155">
        <f>80258.71/1000</f>
        <v>80.25871000000001</v>
      </c>
      <c r="E444" s="56" t="s">
        <v>1149</v>
      </c>
      <c r="F444" s="154"/>
      <c r="G444" s="153"/>
    </row>
    <row r="445" spans="1:7" s="119" customFormat="1" ht="25.5">
      <c r="A445" s="61" t="s">
        <v>583</v>
      </c>
      <c r="B445" s="29" t="s">
        <v>1150</v>
      </c>
      <c r="C445" s="29" t="s">
        <v>1150</v>
      </c>
      <c r="D445" s="155">
        <f>196039.61/1000</f>
        <v>196.03960999999998</v>
      </c>
      <c r="E445" s="56" t="s">
        <v>1149</v>
      </c>
      <c r="F445" s="154"/>
      <c r="G445" s="153"/>
    </row>
    <row r="446" spans="1:7" s="119" customFormat="1" ht="25.5">
      <c r="A446" s="61" t="s">
        <v>583</v>
      </c>
      <c r="B446" s="29" t="s">
        <v>1148</v>
      </c>
      <c r="C446" s="29" t="s">
        <v>1148</v>
      </c>
      <c r="D446" s="155">
        <f>7500/1000</f>
        <v>7.5</v>
      </c>
      <c r="E446" s="56" t="s">
        <v>1118</v>
      </c>
      <c r="F446" s="154"/>
      <c r="G446" s="153"/>
    </row>
    <row r="447" spans="1:7" s="119" customFormat="1" ht="25.5">
      <c r="A447" s="61" t="s">
        <v>583</v>
      </c>
      <c r="B447" s="29" t="s">
        <v>1147</v>
      </c>
      <c r="C447" s="29" t="s">
        <v>1147</v>
      </c>
      <c r="D447" s="155">
        <f>16064.4/1000</f>
        <v>16.0644</v>
      </c>
      <c r="E447" s="56" t="s">
        <v>1118</v>
      </c>
      <c r="F447" s="154"/>
      <c r="G447" s="153"/>
    </row>
    <row r="448" spans="1:7" s="119" customFormat="1" ht="25.5">
      <c r="A448" s="61" t="s">
        <v>583</v>
      </c>
      <c r="B448" s="29" t="s">
        <v>1146</v>
      </c>
      <c r="C448" s="29" t="s">
        <v>1146</v>
      </c>
      <c r="D448" s="155">
        <f>17594.4/1000</f>
        <v>17.5944</v>
      </c>
      <c r="E448" s="56" t="s">
        <v>1118</v>
      </c>
      <c r="F448" s="154"/>
      <c r="G448" s="153"/>
    </row>
    <row r="449" spans="1:7" s="119" customFormat="1" ht="25.5">
      <c r="A449" s="61" t="s">
        <v>583</v>
      </c>
      <c r="B449" s="29" t="s">
        <v>1145</v>
      </c>
      <c r="C449" s="29" t="s">
        <v>1145</v>
      </c>
      <c r="D449" s="155">
        <f>23590.8/1000</f>
        <v>23.590799999999998</v>
      </c>
      <c r="E449" s="56" t="s">
        <v>1118</v>
      </c>
      <c r="F449" s="154"/>
      <c r="G449" s="153"/>
    </row>
    <row r="450" spans="1:7" s="119" customFormat="1" ht="25.5">
      <c r="A450" s="61" t="s">
        <v>583</v>
      </c>
      <c r="B450" s="29" t="s">
        <v>1144</v>
      </c>
      <c r="C450" s="29" t="s">
        <v>1144</v>
      </c>
      <c r="D450" s="155">
        <v>10.5288</v>
      </c>
      <c r="E450" s="56" t="s">
        <v>1118</v>
      </c>
      <c r="F450" s="154"/>
      <c r="G450" s="153"/>
    </row>
    <row r="451" spans="1:7" s="119" customFormat="1" ht="25.5">
      <c r="A451" s="61" t="s">
        <v>583</v>
      </c>
      <c r="B451" s="29" t="s">
        <v>1143</v>
      </c>
      <c r="C451" s="29" t="s">
        <v>1143</v>
      </c>
      <c r="D451" s="155">
        <f>16748.4/1000</f>
        <v>16.7484</v>
      </c>
      <c r="E451" s="56" t="s">
        <v>1118</v>
      </c>
      <c r="F451" s="154"/>
      <c r="G451" s="153"/>
    </row>
    <row r="452" spans="1:7" s="119" customFormat="1" ht="25.5">
      <c r="A452" s="61" t="s">
        <v>583</v>
      </c>
      <c r="B452" s="29" t="s">
        <v>1142</v>
      </c>
      <c r="C452" s="29" t="s">
        <v>1142</v>
      </c>
      <c r="D452" s="155">
        <f>5180.4/1000</f>
        <v>5.1804</v>
      </c>
      <c r="E452" s="56" t="s">
        <v>1118</v>
      </c>
      <c r="F452" s="154"/>
      <c r="G452" s="153"/>
    </row>
    <row r="453" spans="1:7" s="119" customFormat="1" ht="25.5">
      <c r="A453" s="61" t="s">
        <v>583</v>
      </c>
      <c r="B453" s="29" t="s">
        <v>1141</v>
      </c>
      <c r="C453" s="29" t="s">
        <v>1141</v>
      </c>
      <c r="D453" s="155">
        <f>13305.6/1000</f>
        <v>13.3056</v>
      </c>
      <c r="E453" s="56" t="s">
        <v>1118</v>
      </c>
      <c r="F453" s="154"/>
      <c r="G453" s="153"/>
    </row>
    <row r="454" spans="1:7" s="119" customFormat="1" ht="25.5">
      <c r="A454" s="61" t="s">
        <v>583</v>
      </c>
      <c r="B454" s="29" t="s">
        <v>1140</v>
      </c>
      <c r="C454" s="29" t="s">
        <v>1140</v>
      </c>
      <c r="D454" s="155">
        <f>41952/1000</f>
        <v>41.952</v>
      </c>
      <c r="E454" s="56" t="s">
        <v>1118</v>
      </c>
      <c r="F454" s="154"/>
      <c r="G454" s="153"/>
    </row>
    <row r="455" spans="1:7" s="119" customFormat="1" ht="25.5">
      <c r="A455" s="61" t="s">
        <v>583</v>
      </c>
      <c r="B455" s="29" t="s">
        <v>1139</v>
      </c>
      <c r="C455" s="29" t="s">
        <v>1139</v>
      </c>
      <c r="D455" s="155">
        <f>3391.2/1000</f>
        <v>3.3912</v>
      </c>
      <c r="E455" s="56" t="s">
        <v>1118</v>
      </c>
      <c r="F455" s="154"/>
      <c r="G455" s="153"/>
    </row>
    <row r="456" spans="1:7" s="119" customFormat="1" ht="25.5">
      <c r="A456" s="61" t="s">
        <v>583</v>
      </c>
      <c r="B456" s="29" t="s">
        <v>1138</v>
      </c>
      <c r="C456" s="29" t="s">
        <v>1138</v>
      </c>
      <c r="D456" s="155">
        <f>4632/1000</f>
        <v>4.632</v>
      </c>
      <c r="E456" s="56" t="s">
        <v>1118</v>
      </c>
      <c r="F456" s="154"/>
      <c r="G456" s="153"/>
    </row>
    <row r="457" spans="1:7" s="119" customFormat="1" ht="25.5">
      <c r="A457" s="61" t="s">
        <v>583</v>
      </c>
      <c r="B457" s="29" t="s">
        <v>1137</v>
      </c>
      <c r="C457" s="29" t="s">
        <v>1137</v>
      </c>
      <c r="D457" s="155">
        <f>9145.2/1000</f>
        <v>9.1452</v>
      </c>
      <c r="E457" s="56" t="s">
        <v>1118</v>
      </c>
      <c r="F457" s="154"/>
      <c r="G457" s="153"/>
    </row>
    <row r="458" spans="1:7" s="119" customFormat="1" ht="25.5">
      <c r="A458" s="61" t="s">
        <v>583</v>
      </c>
      <c r="B458" s="29" t="s">
        <v>1136</v>
      </c>
      <c r="C458" s="29" t="s">
        <v>1136</v>
      </c>
      <c r="D458" s="155">
        <f>3943.2/1000</f>
        <v>3.9432</v>
      </c>
      <c r="E458" s="56" t="s">
        <v>1118</v>
      </c>
      <c r="F458" s="154"/>
      <c r="G458" s="153"/>
    </row>
    <row r="459" spans="1:7" s="119" customFormat="1" ht="25.5">
      <c r="A459" s="61" t="s">
        <v>583</v>
      </c>
      <c r="B459" s="29" t="s">
        <v>1135</v>
      </c>
      <c r="C459" s="29" t="s">
        <v>1135</v>
      </c>
      <c r="D459" s="155">
        <f>12014.4/1000</f>
        <v>12.0144</v>
      </c>
      <c r="E459" s="56" t="s">
        <v>1118</v>
      </c>
      <c r="F459" s="154"/>
      <c r="G459" s="153"/>
    </row>
    <row r="460" spans="1:7" s="119" customFormat="1" ht="25.5">
      <c r="A460" s="61" t="s">
        <v>583</v>
      </c>
      <c r="B460" s="29" t="s">
        <v>1134</v>
      </c>
      <c r="C460" s="29" t="s">
        <v>1134</v>
      </c>
      <c r="D460" s="155">
        <f>7503.6/1000</f>
        <v>7.5036000000000005</v>
      </c>
      <c r="E460" s="56" t="s">
        <v>1118</v>
      </c>
      <c r="F460" s="154"/>
      <c r="G460" s="153"/>
    </row>
    <row r="461" spans="1:7" s="119" customFormat="1" ht="25.5">
      <c r="A461" s="61" t="s">
        <v>583</v>
      </c>
      <c r="B461" s="29" t="s">
        <v>1133</v>
      </c>
      <c r="C461" s="29" t="s">
        <v>1133</v>
      </c>
      <c r="D461" s="155">
        <f>13012.8/1000</f>
        <v>13.012799999999999</v>
      </c>
      <c r="E461" s="56" t="s">
        <v>1118</v>
      </c>
      <c r="F461" s="154"/>
      <c r="G461" s="153"/>
    </row>
    <row r="462" spans="1:7" s="119" customFormat="1" ht="25.5">
      <c r="A462" s="61" t="s">
        <v>583</v>
      </c>
      <c r="B462" s="29" t="s">
        <v>1132</v>
      </c>
      <c r="C462" s="29" t="s">
        <v>1132</v>
      </c>
      <c r="D462" s="155">
        <f>11712/1000</f>
        <v>11.712</v>
      </c>
      <c r="E462" s="56" t="s">
        <v>1118</v>
      </c>
      <c r="F462" s="154"/>
      <c r="G462" s="153"/>
    </row>
    <row r="463" spans="1:7" s="119" customFormat="1" ht="25.5">
      <c r="A463" s="61" t="s">
        <v>583</v>
      </c>
      <c r="B463" s="29" t="s">
        <v>1131</v>
      </c>
      <c r="C463" s="29" t="s">
        <v>1131</v>
      </c>
      <c r="D463" s="155">
        <f>8054.4/1000</f>
        <v>8.0544</v>
      </c>
      <c r="E463" s="56" t="s">
        <v>1118</v>
      </c>
      <c r="F463" s="154"/>
      <c r="G463" s="153"/>
    </row>
    <row r="464" spans="1:7" s="119" customFormat="1" ht="25.5">
      <c r="A464" s="61" t="s">
        <v>583</v>
      </c>
      <c r="B464" s="29" t="s">
        <v>1130</v>
      </c>
      <c r="C464" s="29" t="s">
        <v>1130</v>
      </c>
      <c r="D464" s="155">
        <f>11796/1000</f>
        <v>11.796</v>
      </c>
      <c r="E464" s="56" t="s">
        <v>1118</v>
      </c>
      <c r="F464" s="154"/>
      <c r="G464" s="153"/>
    </row>
    <row r="465" spans="1:7" s="119" customFormat="1" ht="25.5">
      <c r="A465" s="61" t="s">
        <v>583</v>
      </c>
      <c r="B465" s="29" t="s">
        <v>1129</v>
      </c>
      <c r="C465" s="29" t="s">
        <v>1129</v>
      </c>
      <c r="D465" s="155">
        <f>6012/1000</f>
        <v>6.012</v>
      </c>
      <c r="E465" s="56" t="s">
        <v>1118</v>
      </c>
      <c r="F465" s="154"/>
      <c r="G465" s="153"/>
    </row>
    <row r="466" spans="1:7" s="119" customFormat="1" ht="25.5">
      <c r="A466" s="61" t="s">
        <v>583</v>
      </c>
      <c r="B466" s="29" t="s">
        <v>1128</v>
      </c>
      <c r="C466" s="29" t="s">
        <v>1128</v>
      </c>
      <c r="D466" s="155">
        <f>17196/1000</f>
        <v>17.196</v>
      </c>
      <c r="E466" s="56" t="s">
        <v>1118</v>
      </c>
      <c r="F466" s="154"/>
      <c r="G466" s="153"/>
    </row>
    <row r="467" spans="1:7" s="119" customFormat="1" ht="25.5">
      <c r="A467" s="61" t="s">
        <v>583</v>
      </c>
      <c r="B467" s="29" t="s">
        <v>1127</v>
      </c>
      <c r="C467" s="29" t="s">
        <v>1127</v>
      </c>
      <c r="D467" s="155">
        <f>9974.4/1000</f>
        <v>9.9744</v>
      </c>
      <c r="E467" s="56" t="s">
        <v>1118</v>
      </c>
      <c r="F467" s="154"/>
      <c r="G467" s="153"/>
    </row>
    <row r="468" spans="1:7" s="119" customFormat="1" ht="25.5">
      <c r="A468" s="61" t="s">
        <v>583</v>
      </c>
      <c r="B468" s="29" t="s">
        <v>1126</v>
      </c>
      <c r="C468" s="29" t="s">
        <v>1126</v>
      </c>
      <c r="D468" s="155">
        <f>10077.6/1000</f>
        <v>10.0776</v>
      </c>
      <c r="E468" s="56" t="s">
        <v>1118</v>
      </c>
      <c r="F468" s="154"/>
      <c r="G468" s="153"/>
    </row>
    <row r="469" spans="1:7" s="119" customFormat="1" ht="25.5">
      <c r="A469" s="61" t="s">
        <v>583</v>
      </c>
      <c r="B469" s="29" t="s">
        <v>1125</v>
      </c>
      <c r="C469" s="29" t="s">
        <v>1125</v>
      </c>
      <c r="D469" s="155">
        <f>11845.2/1000</f>
        <v>11.8452</v>
      </c>
      <c r="E469" s="56" t="s">
        <v>1118</v>
      </c>
      <c r="F469" s="154"/>
      <c r="G469" s="153"/>
    </row>
    <row r="470" spans="1:7" s="119" customFormat="1" ht="25.5">
      <c r="A470" s="61" t="s">
        <v>583</v>
      </c>
      <c r="B470" s="29" t="s">
        <v>1124</v>
      </c>
      <c r="C470" s="29" t="s">
        <v>1124</v>
      </c>
      <c r="D470" s="155">
        <f>10656/1000</f>
        <v>10.656</v>
      </c>
      <c r="E470" s="56" t="s">
        <v>1118</v>
      </c>
      <c r="F470" s="154"/>
      <c r="G470" s="153"/>
    </row>
    <row r="471" spans="1:7" s="119" customFormat="1" ht="25.5">
      <c r="A471" s="61" t="s">
        <v>583</v>
      </c>
      <c r="B471" s="29" t="s">
        <v>1123</v>
      </c>
      <c r="C471" s="29" t="s">
        <v>1123</v>
      </c>
      <c r="D471" s="155">
        <f>6340.8/1000</f>
        <v>6.3408</v>
      </c>
      <c r="E471" s="56" t="s">
        <v>1118</v>
      </c>
      <c r="F471" s="154"/>
      <c r="G471" s="153"/>
    </row>
    <row r="472" spans="1:7" s="119" customFormat="1" ht="25.5">
      <c r="A472" s="61" t="s">
        <v>583</v>
      </c>
      <c r="B472" s="29" t="s">
        <v>1122</v>
      </c>
      <c r="C472" s="29" t="s">
        <v>1122</v>
      </c>
      <c r="D472" s="155">
        <f>8257.2/1000</f>
        <v>8.257200000000001</v>
      </c>
      <c r="E472" s="56" t="s">
        <v>1118</v>
      </c>
      <c r="F472" s="154"/>
      <c r="G472" s="153"/>
    </row>
    <row r="473" spans="1:7" s="119" customFormat="1" ht="25.5">
      <c r="A473" s="61" t="s">
        <v>583</v>
      </c>
      <c r="B473" s="29" t="s">
        <v>1121</v>
      </c>
      <c r="C473" s="29" t="s">
        <v>1121</v>
      </c>
      <c r="D473" s="155">
        <f>19096.8/1000</f>
        <v>19.096799999999998</v>
      </c>
      <c r="E473" s="56" t="s">
        <v>1118</v>
      </c>
      <c r="F473" s="154"/>
      <c r="G473" s="153"/>
    </row>
    <row r="474" spans="1:7" s="119" customFormat="1" ht="25.5">
      <c r="A474" s="61" t="s">
        <v>583</v>
      </c>
      <c r="B474" s="29" t="s">
        <v>1120</v>
      </c>
      <c r="C474" s="29" t="s">
        <v>1120</v>
      </c>
      <c r="D474" s="155">
        <f>2673.6/1000</f>
        <v>2.6736</v>
      </c>
      <c r="E474" s="56" t="s">
        <v>1118</v>
      </c>
      <c r="F474" s="154"/>
      <c r="G474" s="153"/>
    </row>
    <row r="475" spans="1:7" s="119" customFormat="1" ht="25.5">
      <c r="A475" s="61" t="s">
        <v>583</v>
      </c>
      <c r="B475" s="29" t="s">
        <v>1119</v>
      </c>
      <c r="C475" s="29" t="s">
        <v>1119</v>
      </c>
      <c r="D475" s="155">
        <f>13858.8/1000</f>
        <v>13.858799999999999</v>
      </c>
      <c r="E475" s="56" t="s">
        <v>1118</v>
      </c>
      <c r="F475" s="154"/>
      <c r="G475" s="153"/>
    </row>
    <row r="476" spans="1:7" s="119" customFormat="1" ht="25.5">
      <c r="A476" s="61" t="s">
        <v>583</v>
      </c>
      <c r="B476" s="29" t="s">
        <v>1117</v>
      </c>
      <c r="C476" s="29" t="s">
        <v>1117</v>
      </c>
      <c r="D476" s="155">
        <f>140696.17/1000</f>
        <v>140.69617000000002</v>
      </c>
      <c r="E476" s="56" t="s">
        <v>1114</v>
      </c>
      <c r="F476" s="154"/>
      <c r="G476" s="153"/>
    </row>
    <row r="477" spans="1:7" s="119" customFormat="1" ht="25.5">
      <c r="A477" s="61" t="s">
        <v>583</v>
      </c>
      <c r="B477" s="29" t="s">
        <v>1116</v>
      </c>
      <c r="C477" s="29" t="s">
        <v>1116</v>
      </c>
      <c r="D477" s="155">
        <f>115616.75/1000</f>
        <v>115.61675</v>
      </c>
      <c r="E477" s="56" t="s">
        <v>1114</v>
      </c>
      <c r="F477" s="154"/>
      <c r="G477" s="153"/>
    </row>
    <row r="478" spans="1:7" s="119" customFormat="1" ht="25.5">
      <c r="A478" s="61" t="s">
        <v>583</v>
      </c>
      <c r="B478" s="29" t="s">
        <v>1116</v>
      </c>
      <c r="C478" s="29" t="s">
        <v>1116</v>
      </c>
      <c r="D478" s="155">
        <f>64354.45/1000</f>
        <v>64.35445</v>
      </c>
      <c r="E478" s="56" t="s">
        <v>1114</v>
      </c>
      <c r="F478" s="154"/>
      <c r="G478" s="153"/>
    </row>
    <row r="479" spans="1:7" s="119" customFormat="1" ht="25.5">
      <c r="A479" s="61" t="s">
        <v>583</v>
      </c>
      <c r="B479" s="29" t="s">
        <v>1115</v>
      </c>
      <c r="C479" s="29" t="s">
        <v>1115</v>
      </c>
      <c r="D479" s="155">
        <f>38536.02/1000</f>
        <v>38.53601999999999</v>
      </c>
      <c r="E479" s="56" t="s">
        <v>1114</v>
      </c>
      <c r="F479" s="154"/>
      <c r="G479" s="153"/>
    </row>
    <row r="480" spans="1:7" s="119" customFormat="1" ht="25.5">
      <c r="A480" s="61" t="s">
        <v>583</v>
      </c>
      <c r="B480" s="29" t="s">
        <v>1115</v>
      </c>
      <c r="C480" s="29" t="s">
        <v>1115</v>
      </c>
      <c r="D480" s="155">
        <f>141395.56/1000</f>
        <v>141.39556</v>
      </c>
      <c r="E480" s="56" t="s">
        <v>1114</v>
      </c>
      <c r="F480" s="154"/>
      <c r="G480" s="153"/>
    </row>
    <row r="481" spans="1:7" s="119" customFormat="1" ht="25.5">
      <c r="A481" s="61" t="s">
        <v>583</v>
      </c>
      <c r="B481" s="29" t="s">
        <v>1113</v>
      </c>
      <c r="C481" s="29" t="s">
        <v>1113</v>
      </c>
      <c r="D481" s="155">
        <f>193806/1000</f>
        <v>193.806</v>
      </c>
      <c r="E481" s="56" t="s">
        <v>1110</v>
      </c>
      <c r="F481" s="154"/>
      <c r="G481" s="153"/>
    </row>
    <row r="482" spans="1:7" s="119" customFormat="1" ht="25.5">
      <c r="A482" s="61" t="s">
        <v>583</v>
      </c>
      <c r="B482" s="29" t="s">
        <v>1112</v>
      </c>
      <c r="C482" s="29" t="s">
        <v>1112</v>
      </c>
      <c r="D482" s="155">
        <f>196428/1000</f>
        <v>196.428</v>
      </c>
      <c r="E482" s="56" t="s">
        <v>1110</v>
      </c>
      <c r="F482" s="154"/>
      <c r="G482" s="153"/>
    </row>
    <row r="483" spans="1:7" s="119" customFormat="1" ht="25.5">
      <c r="A483" s="61" t="s">
        <v>583</v>
      </c>
      <c r="B483" s="29" t="s">
        <v>1111</v>
      </c>
      <c r="C483" s="29" t="s">
        <v>1111</v>
      </c>
      <c r="D483" s="155">
        <f>176796/1000</f>
        <v>176.796</v>
      </c>
      <c r="E483" s="56" t="s">
        <v>1110</v>
      </c>
      <c r="F483" s="154"/>
      <c r="G483" s="153"/>
    </row>
    <row r="484" spans="1:7" s="119" customFormat="1" ht="25.5">
      <c r="A484" s="61" t="s">
        <v>583</v>
      </c>
      <c r="B484" s="29" t="s">
        <v>1109</v>
      </c>
      <c r="C484" s="29" t="s">
        <v>1109</v>
      </c>
      <c r="D484" s="155">
        <f>199955/1000</f>
        <v>199.955</v>
      </c>
      <c r="E484" s="56" t="s">
        <v>1108</v>
      </c>
      <c r="F484" s="154"/>
      <c r="G484" s="153"/>
    </row>
    <row r="485" spans="1:7" s="119" customFormat="1" ht="25.5">
      <c r="A485" s="61" t="s">
        <v>583</v>
      </c>
      <c r="B485" s="29" t="s">
        <v>1107</v>
      </c>
      <c r="C485" s="29" t="s">
        <v>1107</v>
      </c>
      <c r="D485" s="155">
        <f>116414/1000</f>
        <v>116.414</v>
      </c>
      <c r="E485" s="56" t="s">
        <v>1104</v>
      </c>
      <c r="F485" s="154"/>
      <c r="G485" s="153"/>
    </row>
    <row r="486" spans="1:7" s="119" customFormat="1" ht="25.5">
      <c r="A486" s="61" t="s">
        <v>583</v>
      </c>
      <c r="B486" s="29" t="s">
        <v>1106</v>
      </c>
      <c r="C486" s="29" t="s">
        <v>1106</v>
      </c>
      <c r="D486" s="155">
        <f>162106.13/1000</f>
        <v>162.10613</v>
      </c>
      <c r="E486" s="56" t="s">
        <v>1104</v>
      </c>
      <c r="F486" s="154"/>
      <c r="G486" s="153"/>
    </row>
    <row r="487" spans="1:7" s="119" customFormat="1" ht="25.5">
      <c r="A487" s="61" t="s">
        <v>583</v>
      </c>
      <c r="B487" s="29" t="s">
        <v>1105</v>
      </c>
      <c r="C487" s="29" t="s">
        <v>1105</v>
      </c>
      <c r="D487" s="155">
        <f>47599.49/1000</f>
        <v>47.599489999999996</v>
      </c>
      <c r="E487" s="56" t="s">
        <v>1104</v>
      </c>
      <c r="F487" s="154"/>
      <c r="G487" s="153"/>
    </row>
    <row r="488" spans="1:7" s="119" customFormat="1" ht="25.5">
      <c r="A488" s="61" t="s">
        <v>583</v>
      </c>
      <c r="B488" s="29" t="s">
        <v>1103</v>
      </c>
      <c r="C488" s="29" t="s">
        <v>1103</v>
      </c>
      <c r="D488" s="155">
        <f>176227.86/1000</f>
        <v>176.22786</v>
      </c>
      <c r="E488" s="56" t="s">
        <v>1100</v>
      </c>
      <c r="F488" s="154"/>
      <c r="G488" s="153"/>
    </row>
    <row r="489" spans="1:7" s="119" customFormat="1" ht="25.5">
      <c r="A489" s="61" t="s">
        <v>583</v>
      </c>
      <c r="B489" s="29" t="s">
        <v>1102</v>
      </c>
      <c r="C489" s="29" t="s">
        <v>1102</v>
      </c>
      <c r="D489" s="155">
        <f>196406.4/1000</f>
        <v>196.4064</v>
      </c>
      <c r="E489" s="56" t="s">
        <v>1100</v>
      </c>
      <c r="F489" s="154"/>
      <c r="G489" s="153"/>
    </row>
    <row r="490" spans="1:7" s="119" customFormat="1" ht="25.5">
      <c r="A490" s="61" t="s">
        <v>583</v>
      </c>
      <c r="B490" s="29" t="s">
        <v>1101</v>
      </c>
      <c r="C490" s="29" t="s">
        <v>1101</v>
      </c>
      <c r="D490" s="155">
        <f>128613.38/1000</f>
        <v>128.61338</v>
      </c>
      <c r="E490" s="56" t="s">
        <v>1100</v>
      </c>
      <c r="F490" s="154"/>
      <c r="G490" s="153"/>
    </row>
    <row r="491" spans="1:7" s="119" customFormat="1" ht="25.5">
      <c r="A491" s="61" t="s">
        <v>583</v>
      </c>
      <c r="B491" s="29" t="s">
        <v>1099</v>
      </c>
      <c r="C491" s="29" t="s">
        <v>1099</v>
      </c>
      <c r="D491" s="155">
        <f>154328.03/1000</f>
        <v>154.32803</v>
      </c>
      <c r="E491" s="56" t="s">
        <v>1097</v>
      </c>
      <c r="F491" s="154"/>
      <c r="G491" s="153"/>
    </row>
    <row r="492" spans="1:7" s="119" customFormat="1" ht="25.5">
      <c r="A492" s="61" t="s">
        <v>583</v>
      </c>
      <c r="B492" s="29" t="s">
        <v>1098</v>
      </c>
      <c r="C492" s="29" t="s">
        <v>1098</v>
      </c>
      <c r="D492" s="155">
        <f>37053.64/1000</f>
        <v>37.05364</v>
      </c>
      <c r="E492" s="56" t="s">
        <v>1097</v>
      </c>
      <c r="F492" s="154"/>
      <c r="G492" s="153"/>
    </row>
    <row r="493" spans="1:7" s="119" customFormat="1" ht="25.5">
      <c r="A493" s="61" t="s">
        <v>583</v>
      </c>
      <c r="B493" s="29" t="s">
        <v>1096</v>
      </c>
      <c r="C493" s="29" t="s">
        <v>1096</v>
      </c>
      <c r="D493" s="155">
        <f>195974.09/1000</f>
        <v>195.97409</v>
      </c>
      <c r="E493" s="56" t="s">
        <v>1095</v>
      </c>
      <c r="F493" s="154"/>
      <c r="G493" s="153"/>
    </row>
    <row r="494" spans="1:7" s="119" customFormat="1" ht="25.5">
      <c r="A494" s="61" t="s">
        <v>583</v>
      </c>
      <c r="B494" s="29" t="s">
        <v>1094</v>
      </c>
      <c r="C494" s="29" t="s">
        <v>1094</v>
      </c>
      <c r="D494" s="155">
        <f>160246.58/1000</f>
        <v>160.24658</v>
      </c>
      <c r="E494" s="56" t="s">
        <v>1093</v>
      </c>
      <c r="F494" s="154"/>
      <c r="G494" s="153"/>
    </row>
    <row r="495" spans="1:7" s="119" customFormat="1" ht="25.5">
      <c r="A495" s="61" t="s">
        <v>583</v>
      </c>
      <c r="B495" s="29" t="s">
        <v>1092</v>
      </c>
      <c r="C495" s="29" t="s">
        <v>1092</v>
      </c>
      <c r="D495" s="155">
        <f>196336/1000</f>
        <v>196.336</v>
      </c>
      <c r="E495" s="56" t="s">
        <v>1090</v>
      </c>
      <c r="F495" s="154"/>
      <c r="G495" s="153"/>
    </row>
    <row r="496" spans="1:7" s="119" customFormat="1" ht="25.5">
      <c r="A496" s="61" t="s">
        <v>583</v>
      </c>
      <c r="B496" s="29" t="s">
        <v>1091</v>
      </c>
      <c r="C496" s="29" t="s">
        <v>1091</v>
      </c>
      <c r="D496" s="155">
        <f>163470.09/1000</f>
        <v>163.47009</v>
      </c>
      <c r="E496" s="56" t="s">
        <v>1090</v>
      </c>
      <c r="F496" s="154"/>
      <c r="G496" s="153"/>
    </row>
    <row r="497" spans="1:7" s="119" customFormat="1" ht="25.5">
      <c r="A497" s="61" t="s">
        <v>583</v>
      </c>
      <c r="B497" s="29" t="s">
        <v>1089</v>
      </c>
      <c r="C497" s="29" t="s">
        <v>1089</v>
      </c>
      <c r="D497" s="155">
        <f>199988/1000</f>
        <v>199.988</v>
      </c>
      <c r="E497" s="56" t="s">
        <v>1087</v>
      </c>
      <c r="F497" s="154"/>
      <c r="G497" s="153"/>
    </row>
    <row r="498" spans="1:7" s="119" customFormat="1" ht="25.5">
      <c r="A498" s="61" t="s">
        <v>583</v>
      </c>
      <c r="B498" s="29" t="s">
        <v>1088</v>
      </c>
      <c r="C498" s="29" t="s">
        <v>1088</v>
      </c>
      <c r="D498" s="155">
        <f>199662/1000</f>
        <v>199.662</v>
      </c>
      <c r="E498" s="56" t="s">
        <v>1087</v>
      </c>
      <c r="F498" s="154"/>
      <c r="G498" s="153"/>
    </row>
    <row r="499" spans="1:7" s="119" customFormat="1" ht="25.5">
      <c r="A499" s="61" t="s">
        <v>583</v>
      </c>
      <c r="B499" s="29" t="s">
        <v>1086</v>
      </c>
      <c r="C499" s="29" t="s">
        <v>1086</v>
      </c>
      <c r="D499" s="155">
        <f>44726.48/1000</f>
        <v>44.72648</v>
      </c>
      <c r="E499" s="56" t="s">
        <v>1085</v>
      </c>
      <c r="F499" s="154"/>
      <c r="G499" s="153"/>
    </row>
    <row r="500" spans="1:7" s="119" customFormat="1" ht="25.5">
      <c r="A500" s="61" t="s">
        <v>583</v>
      </c>
      <c r="B500" s="29" t="s">
        <v>1084</v>
      </c>
      <c r="C500" s="29" t="s">
        <v>1084</v>
      </c>
      <c r="D500" s="155">
        <f>15839.99/1000</f>
        <v>15.83999</v>
      </c>
      <c r="E500" s="56" t="s">
        <v>921</v>
      </c>
      <c r="F500" s="154"/>
      <c r="G500" s="153"/>
    </row>
    <row r="501" spans="1:7" s="119" customFormat="1" ht="25.5">
      <c r="A501" s="61" t="s">
        <v>583</v>
      </c>
      <c r="B501" s="29" t="s">
        <v>1083</v>
      </c>
      <c r="C501" s="29" t="s">
        <v>1083</v>
      </c>
      <c r="D501" s="155">
        <f>199796.23/1000</f>
        <v>199.79623</v>
      </c>
      <c r="E501" s="56" t="s">
        <v>1082</v>
      </c>
      <c r="F501" s="154"/>
      <c r="G501" s="153"/>
    </row>
    <row r="502" spans="1:7" s="119" customFormat="1" ht="25.5">
      <c r="A502" s="61" t="s">
        <v>583</v>
      </c>
      <c r="B502" s="29" t="s">
        <v>1081</v>
      </c>
      <c r="C502" s="29" t="s">
        <v>1081</v>
      </c>
      <c r="D502" s="155">
        <f>199985/1000</f>
        <v>199.985</v>
      </c>
      <c r="E502" s="56" t="s">
        <v>1076</v>
      </c>
      <c r="F502" s="154"/>
      <c r="G502" s="153"/>
    </row>
    <row r="503" spans="1:7" s="119" customFormat="1" ht="25.5">
      <c r="A503" s="61" t="s">
        <v>583</v>
      </c>
      <c r="B503" s="29" t="s">
        <v>1080</v>
      </c>
      <c r="C503" s="29" t="s">
        <v>1080</v>
      </c>
      <c r="D503" s="155">
        <f>199985/1000</f>
        <v>199.985</v>
      </c>
      <c r="E503" s="56" t="s">
        <v>1076</v>
      </c>
      <c r="F503" s="154"/>
      <c r="G503" s="153"/>
    </row>
    <row r="504" spans="1:7" s="119" customFormat="1" ht="25.5">
      <c r="A504" s="61" t="s">
        <v>583</v>
      </c>
      <c r="B504" s="29" t="s">
        <v>1079</v>
      </c>
      <c r="C504" s="29" t="s">
        <v>1079</v>
      </c>
      <c r="D504" s="155">
        <f>199985/1000</f>
        <v>199.985</v>
      </c>
      <c r="E504" s="56" t="s">
        <v>1076</v>
      </c>
      <c r="F504" s="154"/>
      <c r="G504" s="153"/>
    </row>
    <row r="505" spans="1:7" s="119" customFormat="1" ht="25.5">
      <c r="A505" s="61" t="s">
        <v>583</v>
      </c>
      <c r="B505" s="29" t="s">
        <v>1078</v>
      </c>
      <c r="C505" s="29" t="s">
        <v>1078</v>
      </c>
      <c r="D505" s="155">
        <f>179999.26/1000</f>
        <v>179.99926000000002</v>
      </c>
      <c r="E505" s="56" t="s">
        <v>1076</v>
      </c>
      <c r="F505" s="154"/>
      <c r="G505" s="153"/>
    </row>
    <row r="506" spans="1:7" s="119" customFormat="1" ht="25.5">
      <c r="A506" s="61" t="s">
        <v>583</v>
      </c>
      <c r="B506" s="29" t="s">
        <v>1077</v>
      </c>
      <c r="C506" s="29" t="s">
        <v>1077</v>
      </c>
      <c r="D506" s="155">
        <f>180001/1000</f>
        <v>180.001</v>
      </c>
      <c r="E506" s="56" t="s">
        <v>1076</v>
      </c>
      <c r="F506" s="154"/>
      <c r="G506" s="153"/>
    </row>
    <row r="507" spans="1:7" s="119" customFormat="1" ht="25.5">
      <c r="A507" s="61" t="s">
        <v>583</v>
      </c>
      <c r="B507" s="29" t="s">
        <v>1075</v>
      </c>
      <c r="C507" s="29" t="s">
        <v>1075</v>
      </c>
      <c r="D507" s="155">
        <f>176796/1000</f>
        <v>176.796</v>
      </c>
      <c r="E507" s="56" t="s">
        <v>1073</v>
      </c>
      <c r="F507" s="154"/>
      <c r="G507" s="153"/>
    </row>
    <row r="508" spans="1:7" s="119" customFormat="1" ht="25.5">
      <c r="A508" s="61" t="s">
        <v>583</v>
      </c>
      <c r="B508" s="29" t="s">
        <v>1074</v>
      </c>
      <c r="C508" s="29" t="s">
        <v>1074</v>
      </c>
      <c r="D508" s="155">
        <f>134386/1000</f>
        <v>134.386</v>
      </c>
      <c r="E508" s="56" t="s">
        <v>1073</v>
      </c>
      <c r="F508" s="154"/>
      <c r="G508" s="153"/>
    </row>
    <row r="509" spans="1:7" s="119" customFormat="1" ht="25.5">
      <c r="A509" s="61" t="s">
        <v>583</v>
      </c>
      <c r="B509" s="29" t="s">
        <v>1072</v>
      </c>
      <c r="C509" s="29" t="s">
        <v>1072</v>
      </c>
      <c r="D509" s="155">
        <f>8232/1000</f>
        <v>8.232</v>
      </c>
      <c r="E509" s="56" t="s">
        <v>1055</v>
      </c>
      <c r="F509" s="154"/>
      <c r="G509" s="153"/>
    </row>
    <row r="510" spans="1:7" s="119" customFormat="1" ht="25.5">
      <c r="A510" s="61" t="s">
        <v>583</v>
      </c>
      <c r="B510" s="29" t="s">
        <v>1071</v>
      </c>
      <c r="C510" s="29" t="s">
        <v>1071</v>
      </c>
      <c r="D510" s="155">
        <f>18068.4/1000</f>
        <v>18.0684</v>
      </c>
      <c r="E510" s="56" t="s">
        <v>1055</v>
      </c>
      <c r="F510" s="154"/>
      <c r="G510" s="153"/>
    </row>
    <row r="511" spans="1:7" s="119" customFormat="1" ht="25.5">
      <c r="A511" s="61" t="s">
        <v>583</v>
      </c>
      <c r="B511" s="29" t="s">
        <v>1070</v>
      </c>
      <c r="C511" s="29" t="s">
        <v>1070</v>
      </c>
      <c r="D511" s="155">
        <f>14221.2/1000</f>
        <v>14.221200000000001</v>
      </c>
      <c r="E511" s="56" t="s">
        <v>1055</v>
      </c>
      <c r="F511" s="154"/>
      <c r="G511" s="153"/>
    </row>
    <row r="512" spans="1:7" s="119" customFormat="1" ht="25.5">
      <c r="A512" s="61" t="s">
        <v>583</v>
      </c>
      <c r="B512" s="29" t="s">
        <v>1069</v>
      </c>
      <c r="C512" s="29" t="s">
        <v>1069</v>
      </c>
      <c r="D512" s="155">
        <f>3662.4/1000</f>
        <v>3.6624</v>
      </c>
      <c r="E512" s="56" t="s">
        <v>1055</v>
      </c>
      <c r="F512" s="154"/>
      <c r="G512" s="153"/>
    </row>
    <row r="513" spans="1:7" s="119" customFormat="1" ht="25.5">
      <c r="A513" s="61" t="s">
        <v>583</v>
      </c>
      <c r="B513" s="29" t="s">
        <v>1068</v>
      </c>
      <c r="C513" s="29" t="s">
        <v>1068</v>
      </c>
      <c r="D513" s="155">
        <f>2949.6/1000</f>
        <v>2.9495999999999998</v>
      </c>
      <c r="E513" s="56" t="s">
        <v>1055</v>
      </c>
      <c r="F513" s="154"/>
      <c r="G513" s="153"/>
    </row>
    <row r="514" spans="1:7" s="119" customFormat="1" ht="25.5">
      <c r="A514" s="61" t="s">
        <v>583</v>
      </c>
      <c r="B514" s="29" t="s">
        <v>1067</v>
      </c>
      <c r="C514" s="29" t="s">
        <v>1067</v>
      </c>
      <c r="D514" s="155">
        <f>5694/1000</f>
        <v>5.694</v>
      </c>
      <c r="E514" s="56" t="s">
        <v>1055</v>
      </c>
      <c r="F514" s="154"/>
      <c r="G514" s="153"/>
    </row>
    <row r="515" spans="1:7" s="119" customFormat="1" ht="25.5">
      <c r="A515" s="61" t="s">
        <v>583</v>
      </c>
      <c r="B515" s="29" t="s">
        <v>1066</v>
      </c>
      <c r="C515" s="29" t="s">
        <v>1066</v>
      </c>
      <c r="D515" s="155">
        <f>5694/1000</f>
        <v>5.694</v>
      </c>
      <c r="E515" s="56" t="s">
        <v>1055</v>
      </c>
      <c r="F515" s="154"/>
      <c r="G515" s="153"/>
    </row>
    <row r="516" spans="1:7" s="119" customFormat="1" ht="25.5">
      <c r="A516" s="61" t="s">
        <v>583</v>
      </c>
      <c r="B516" s="29" t="s">
        <v>1065</v>
      </c>
      <c r="C516" s="29" t="s">
        <v>1065</v>
      </c>
      <c r="D516" s="155">
        <f>3050.4/1000</f>
        <v>3.0504000000000002</v>
      </c>
      <c r="E516" s="56" t="s">
        <v>1055</v>
      </c>
      <c r="F516" s="154"/>
      <c r="G516" s="153"/>
    </row>
    <row r="517" spans="1:7" s="119" customFormat="1" ht="25.5">
      <c r="A517" s="61" t="s">
        <v>583</v>
      </c>
      <c r="B517" s="29" t="s">
        <v>1064</v>
      </c>
      <c r="C517" s="29" t="s">
        <v>1064</v>
      </c>
      <c r="D517" s="155">
        <f>5461.2/1000</f>
        <v>5.4612</v>
      </c>
      <c r="E517" s="56" t="s">
        <v>1055</v>
      </c>
      <c r="F517" s="154"/>
      <c r="G517" s="153"/>
    </row>
    <row r="518" spans="1:7" s="119" customFormat="1" ht="12.75">
      <c r="A518" s="61" t="s">
        <v>583</v>
      </c>
      <c r="B518" s="29" t="s">
        <v>1063</v>
      </c>
      <c r="C518" s="29" t="s">
        <v>1063</v>
      </c>
      <c r="D518" s="155">
        <f>3094.8/1000</f>
        <v>3.0948</v>
      </c>
      <c r="E518" s="56" t="s">
        <v>1055</v>
      </c>
      <c r="F518" s="154"/>
      <c r="G518" s="153"/>
    </row>
    <row r="519" spans="1:7" s="119" customFormat="1" ht="25.5">
      <c r="A519" s="61" t="s">
        <v>583</v>
      </c>
      <c r="B519" s="29" t="s">
        <v>1062</v>
      </c>
      <c r="C519" s="29" t="s">
        <v>1062</v>
      </c>
      <c r="D519" s="155">
        <f>3662.4/1000</f>
        <v>3.6624</v>
      </c>
      <c r="E519" s="56" t="s">
        <v>1055</v>
      </c>
      <c r="F519" s="154"/>
      <c r="G519" s="153"/>
    </row>
    <row r="520" spans="1:7" s="119" customFormat="1" ht="25.5">
      <c r="A520" s="61" t="s">
        <v>583</v>
      </c>
      <c r="B520" s="29" t="s">
        <v>1061</v>
      </c>
      <c r="C520" s="29" t="s">
        <v>1061</v>
      </c>
      <c r="D520" s="155">
        <f>28704/1000</f>
        <v>28.704</v>
      </c>
      <c r="E520" s="56" t="s">
        <v>1055</v>
      </c>
      <c r="F520" s="154"/>
      <c r="G520" s="153"/>
    </row>
    <row r="521" spans="1:7" s="119" customFormat="1" ht="25.5">
      <c r="A521" s="61" t="s">
        <v>583</v>
      </c>
      <c r="B521" s="29" t="s">
        <v>1059</v>
      </c>
      <c r="C521" s="29" t="s">
        <v>1059</v>
      </c>
      <c r="D521" s="155">
        <f>3800.4/1000</f>
        <v>3.8004000000000002</v>
      </c>
      <c r="E521" s="56" t="s">
        <v>1055</v>
      </c>
      <c r="F521" s="154"/>
      <c r="G521" s="153"/>
    </row>
    <row r="522" spans="1:7" s="119" customFormat="1" ht="25.5">
      <c r="A522" s="61" t="s">
        <v>583</v>
      </c>
      <c r="B522" s="29" t="s">
        <v>1060</v>
      </c>
      <c r="C522" s="29" t="s">
        <v>1060</v>
      </c>
      <c r="D522" s="155">
        <f>3589.2/1000</f>
        <v>3.5892</v>
      </c>
      <c r="E522" s="56" t="s">
        <v>1055</v>
      </c>
      <c r="F522" s="154"/>
      <c r="G522" s="153"/>
    </row>
    <row r="523" spans="1:7" s="119" customFormat="1" ht="25.5">
      <c r="A523" s="61" t="s">
        <v>583</v>
      </c>
      <c r="B523" s="29" t="s">
        <v>1060</v>
      </c>
      <c r="C523" s="29" t="s">
        <v>1060</v>
      </c>
      <c r="D523" s="155">
        <f>1977.6/1000</f>
        <v>1.9775999999999998</v>
      </c>
      <c r="E523" s="56" t="s">
        <v>1055</v>
      </c>
      <c r="F523" s="154"/>
      <c r="G523" s="153"/>
    </row>
    <row r="524" spans="1:7" s="119" customFormat="1" ht="25.5">
      <c r="A524" s="61" t="s">
        <v>583</v>
      </c>
      <c r="B524" s="29" t="s">
        <v>1059</v>
      </c>
      <c r="C524" s="29" t="s">
        <v>1059</v>
      </c>
      <c r="D524" s="155">
        <f>7332/1000</f>
        <v>7.332</v>
      </c>
      <c r="E524" s="56" t="s">
        <v>1055</v>
      </c>
      <c r="F524" s="154"/>
      <c r="G524" s="153"/>
    </row>
    <row r="525" spans="1:7" s="119" customFormat="1" ht="25.5">
      <c r="A525" s="61" t="s">
        <v>583</v>
      </c>
      <c r="B525" s="29" t="s">
        <v>1058</v>
      </c>
      <c r="C525" s="29" t="s">
        <v>1058</v>
      </c>
      <c r="D525" s="155">
        <f>14526/1000</f>
        <v>14.526</v>
      </c>
      <c r="E525" s="56" t="s">
        <v>1055</v>
      </c>
      <c r="F525" s="154"/>
      <c r="G525" s="153"/>
    </row>
    <row r="526" spans="1:7" s="119" customFormat="1" ht="25.5">
      <c r="A526" s="61" t="s">
        <v>583</v>
      </c>
      <c r="B526" s="29" t="s">
        <v>1057</v>
      </c>
      <c r="C526" s="29" t="s">
        <v>1057</v>
      </c>
      <c r="D526" s="155">
        <f>2949.6/1000</f>
        <v>2.9495999999999998</v>
      </c>
      <c r="E526" s="56" t="s">
        <v>1055</v>
      </c>
      <c r="F526" s="154"/>
      <c r="G526" s="153"/>
    </row>
    <row r="527" spans="1:7" s="119" customFormat="1" ht="25.5">
      <c r="A527" s="61" t="s">
        <v>583</v>
      </c>
      <c r="B527" s="29" t="s">
        <v>1056</v>
      </c>
      <c r="C527" s="29" t="s">
        <v>1056</v>
      </c>
      <c r="D527" s="155">
        <f>11407.2/1000</f>
        <v>11.407200000000001</v>
      </c>
      <c r="E527" s="56" t="s">
        <v>1055</v>
      </c>
      <c r="F527" s="154"/>
      <c r="G527" s="153"/>
    </row>
    <row r="528" spans="1:7" s="119" customFormat="1" ht="25.5">
      <c r="A528" s="61" t="s">
        <v>583</v>
      </c>
      <c r="B528" s="29" t="s">
        <v>1054</v>
      </c>
      <c r="C528" s="29" t="s">
        <v>1054</v>
      </c>
      <c r="D528" s="155">
        <f>119744.34/1000</f>
        <v>119.74434</v>
      </c>
      <c r="E528" s="56" t="s">
        <v>817</v>
      </c>
      <c r="F528" s="154"/>
      <c r="G528" s="153"/>
    </row>
    <row r="529" spans="1:7" s="119" customFormat="1" ht="25.5">
      <c r="A529" s="61" t="s">
        <v>583</v>
      </c>
      <c r="B529" s="29" t="s">
        <v>1053</v>
      </c>
      <c r="C529" s="29" t="s">
        <v>1053</v>
      </c>
      <c r="D529" s="155">
        <f>179552.7/1000</f>
        <v>179.55270000000002</v>
      </c>
      <c r="E529" s="56" t="s">
        <v>817</v>
      </c>
      <c r="F529" s="154"/>
      <c r="G529" s="153"/>
    </row>
    <row r="530" spans="1:7" s="119" customFormat="1" ht="25.5">
      <c r="A530" s="61" t="s">
        <v>583</v>
      </c>
      <c r="B530" s="29" t="s">
        <v>1052</v>
      </c>
      <c r="C530" s="29" t="s">
        <v>1052</v>
      </c>
      <c r="D530" s="155">
        <f>84907/1000</f>
        <v>84.907</v>
      </c>
      <c r="E530" s="56" t="s">
        <v>1045</v>
      </c>
      <c r="F530" s="154"/>
      <c r="G530" s="153"/>
    </row>
    <row r="531" spans="1:7" s="119" customFormat="1" ht="25.5">
      <c r="A531" s="61" t="s">
        <v>583</v>
      </c>
      <c r="B531" s="29" t="s">
        <v>1051</v>
      </c>
      <c r="C531" s="29" t="s">
        <v>1051</v>
      </c>
      <c r="D531" s="155">
        <f>27026/1000</f>
        <v>27.026</v>
      </c>
      <c r="E531" s="56" t="s">
        <v>1045</v>
      </c>
      <c r="F531" s="154"/>
      <c r="G531" s="153"/>
    </row>
    <row r="532" spans="1:7" s="119" customFormat="1" ht="25.5">
      <c r="A532" s="61" t="s">
        <v>583</v>
      </c>
      <c r="B532" s="29" t="s">
        <v>1050</v>
      </c>
      <c r="C532" s="29" t="s">
        <v>1050</v>
      </c>
      <c r="D532" s="155">
        <f>48720/1000</f>
        <v>48.72</v>
      </c>
      <c r="E532" s="56" t="s">
        <v>1045</v>
      </c>
      <c r="F532" s="154"/>
      <c r="G532" s="153"/>
    </row>
    <row r="533" spans="1:7" s="119" customFormat="1" ht="12.75">
      <c r="A533" s="61" t="s">
        <v>583</v>
      </c>
      <c r="B533" s="29" t="s">
        <v>1049</v>
      </c>
      <c r="C533" s="29" t="s">
        <v>1049</v>
      </c>
      <c r="D533" s="155">
        <f>199925/1000</f>
        <v>199.925</v>
      </c>
      <c r="E533" s="56" t="s">
        <v>1045</v>
      </c>
      <c r="F533" s="154"/>
      <c r="G533" s="153"/>
    </row>
    <row r="534" spans="1:7" s="119" customFormat="1" ht="25.5">
      <c r="A534" s="61" t="s">
        <v>583</v>
      </c>
      <c r="B534" s="29" t="s">
        <v>1048</v>
      </c>
      <c r="C534" s="29" t="s">
        <v>1048</v>
      </c>
      <c r="D534" s="155">
        <f>13300/1000</f>
        <v>13.3</v>
      </c>
      <c r="E534" s="56" t="s">
        <v>1045</v>
      </c>
      <c r="F534" s="154"/>
      <c r="G534" s="153"/>
    </row>
    <row r="535" spans="1:7" s="119" customFormat="1" ht="25.5">
      <c r="A535" s="61" t="s">
        <v>583</v>
      </c>
      <c r="B535" s="29" t="s">
        <v>1047</v>
      </c>
      <c r="C535" s="29" t="s">
        <v>1047</v>
      </c>
      <c r="D535" s="155">
        <f>36864/1000</f>
        <v>36.864</v>
      </c>
      <c r="E535" s="56" t="s">
        <v>1045</v>
      </c>
      <c r="F535" s="154"/>
      <c r="G535" s="153"/>
    </row>
    <row r="536" spans="1:7" s="119" customFormat="1" ht="25.5">
      <c r="A536" s="61" t="s">
        <v>583</v>
      </c>
      <c r="B536" s="29" t="s">
        <v>1046</v>
      </c>
      <c r="C536" s="29" t="s">
        <v>1046</v>
      </c>
      <c r="D536" s="155">
        <f>12500/1000</f>
        <v>12.5</v>
      </c>
      <c r="E536" s="56" t="s">
        <v>1045</v>
      </c>
      <c r="F536" s="154"/>
      <c r="G536" s="153"/>
    </row>
    <row r="537" spans="1:7" s="119" customFormat="1" ht="25.5">
      <c r="A537" s="61" t="s">
        <v>583</v>
      </c>
      <c r="B537" s="29" t="s">
        <v>1044</v>
      </c>
      <c r="C537" s="29" t="s">
        <v>1044</v>
      </c>
      <c r="D537" s="155">
        <f>105235.45/1000</f>
        <v>105.23545</v>
      </c>
      <c r="E537" s="56" t="s">
        <v>1041</v>
      </c>
      <c r="F537" s="154"/>
      <c r="G537" s="153"/>
    </row>
    <row r="538" spans="1:7" s="119" customFormat="1" ht="25.5">
      <c r="A538" s="61" t="s">
        <v>583</v>
      </c>
      <c r="B538" s="29" t="s">
        <v>1043</v>
      </c>
      <c r="C538" s="29" t="s">
        <v>1043</v>
      </c>
      <c r="D538" s="155">
        <f>42964.33/1000</f>
        <v>42.964330000000004</v>
      </c>
      <c r="E538" s="56" t="s">
        <v>1041</v>
      </c>
      <c r="F538" s="154"/>
      <c r="G538" s="153"/>
    </row>
    <row r="539" spans="1:7" s="119" customFormat="1" ht="25.5">
      <c r="A539" s="61" t="s">
        <v>583</v>
      </c>
      <c r="B539" s="29" t="s">
        <v>1042</v>
      </c>
      <c r="C539" s="29" t="s">
        <v>1042</v>
      </c>
      <c r="D539" s="155">
        <f>177193.59/1000</f>
        <v>177.19359</v>
      </c>
      <c r="E539" s="56" t="s">
        <v>1041</v>
      </c>
      <c r="F539" s="154"/>
      <c r="G539" s="153"/>
    </row>
    <row r="540" spans="1:7" s="119" customFormat="1" ht="25.5">
      <c r="A540" s="61" t="s">
        <v>583</v>
      </c>
      <c r="B540" s="29" t="s">
        <v>1040</v>
      </c>
      <c r="C540" s="29" t="s">
        <v>1040</v>
      </c>
      <c r="D540" s="155">
        <f>67687.43/1000</f>
        <v>67.68742999999999</v>
      </c>
      <c r="E540" s="56" t="s">
        <v>1038</v>
      </c>
      <c r="F540" s="154"/>
      <c r="G540" s="153"/>
    </row>
    <row r="541" spans="1:7" s="119" customFormat="1" ht="25.5">
      <c r="A541" s="61" t="s">
        <v>583</v>
      </c>
      <c r="B541" s="29" t="s">
        <v>1039</v>
      </c>
      <c r="C541" s="29" t="s">
        <v>1039</v>
      </c>
      <c r="D541" s="155">
        <f>117957.36/1000</f>
        <v>117.95736</v>
      </c>
      <c r="E541" s="56" t="s">
        <v>1038</v>
      </c>
      <c r="F541" s="154"/>
      <c r="G541" s="153"/>
    </row>
    <row r="542" spans="1:7" s="119" customFormat="1" ht="12.75">
      <c r="A542" s="61" t="s">
        <v>583</v>
      </c>
      <c r="B542" s="29" t="s">
        <v>1037</v>
      </c>
      <c r="C542" s="29" t="s">
        <v>1037</v>
      </c>
      <c r="D542" s="155">
        <f>11971/1000</f>
        <v>11.971</v>
      </c>
      <c r="E542" s="56" t="s">
        <v>1028</v>
      </c>
      <c r="F542" s="154"/>
      <c r="G542" s="153"/>
    </row>
    <row r="543" spans="1:7" s="119" customFormat="1" ht="25.5">
      <c r="A543" s="61" t="s">
        <v>583</v>
      </c>
      <c r="B543" s="29" t="s">
        <v>1036</v>
      </c>
      <c r="C543" s="29" t="s">
        <v>1036</v>
      </c>
      <c r="D543" s="155">
        <f>65443/1000</f>
        <v>65.443</v>
      </c>
      <c r="E543" s="56" t="s">
        <v>1028</v>
      </c>
      <c r="F543" s="154"/>
      <c r="G543" s="153"/>
    </row>
    <row r="544" spans="1:7" s="119" customFormat="1" ht="25.5">
      <c r="A544" s="61" t="s">
        <v>583</v>
      </c>
      <c r="B544" s="29" t="s">
        <v>1035</v>
      </c>
      <c r="C544" s="29" t="s">
        <v>1035</v>
      </c>
      <c r="D544" s="155">
        <f>80033/1000</f>
        <v>80.033</v>
      </c>
      <c r="E544" s="56" t="s">
        <v>1028</v>
      </c>
      <c r="F544" s="154"/>
      <c r="G544" s="153"/>
    </row>
    <row r="545" spans="1:7" s="119" customFormat="1" ht="25.5">
      <c r="A545" s="61" t="s">
        <v>583</v>
      </c>
      <c r="B545" s="29" t="s">
        <v>1034</v>
      </c>
      <c r="C545" s="29" t="s">
        <v>1034</v>
      </c>
      <c r="D545" s="155">
        <f>125297.56/1000</f>
        <v>125.29756</v>
      </c>
      <c r="E545" s="56" t="s">
        <v>1028</v>
      </c>
      <c r="F545" s="154"/>
      <c r="G545" s="153"/>
    </row>
    <row r="546" spans="1:7" s="119" customFormat="1" ht="12.75">
      <c r="A546" s="61" t="s">
        <v>583</v>
      </c>
      <c r="B546" s="29" t="s">
        <v>1033</v>
      </c>
      <c r="C546" s="29" t="s">
        <v>1033</v>
      </c>
      <c r="D546" s="155">
        <f>25921/1000</f>
        <v>25.921</v>
      </c>
      <c r="E546" s="56" t="s">
        <v>1028</v>
      </c>
      <c r="F546" s="154"/>
      <c r="G546" s="153"/>
    </row>
    <row r="547" spans="1:7" s="119" customFormat="1" ht="25.5">
      <c r="A547" s="61" t="s">
        <v>583</v>
      </c>
      <c r="B547" s="29" t="s">
        <v>1032</v>
      </c>
      <c r="C547" s="29" t="s">
        <v>1032</v>
      </c>
      <c r="D547" s="155">
        <f>35361/1000</f>
        <v>35.361</v>
      </c>
      <c r="E547" s="56" t="s">
        <v>1028</v>
      </c>
      <c r="F547" s="154"/>
      <c r="G547" s="153"/>
    </row>
    <row r="548" spans="1:7" s="119" customFormat="1" ht="25.5">
      <c r="A548" s="61" t="s">
        <v>583</v>
      </c>
      <c r="B548" s="29" t="s">
        <v>1031</v>
      </c>
      <c r="C548" s="29" t="s">
        <v>1031</v>
      </c>
      <c r="D548" s="155">
        <f>176786/1000</f>
        <v>176.786</v>
      </c>
      <c r="E548" s="56" t="s">
        <v>1028</v>
      </c>
      <c r="F548" s="154"/>
      <c r="G548" s="153"/>
    </row>
    <row r="549" spans="1:7" s="119" customFormat="1" ht="12.75">
      <c r="A549" s="61" t="s">
        <v>583</v>
      </c>
      <c r="B549" s="29" t="s">
        <v>1030</v>
      </c>
      <c r="C549" s="29" t="s">
        <v>1030</v>
      </c>
      <c r="D549" s="155">
        <f>9884/1000</f>
        <v>9.884</v>
      </c>
      <c r="E549" s="56" t="s">
        <v>1028</v>
      </c>
      <c r="F549" s="154"/>
      <c r="G549" s="153"/>
    </row>
    <row r="550" spans="1:7" s="119" customFormat="1" ht="12.75">
      <c r="A550" s="61" t="s">
        <v>583</v>
      </c>
      <c r="B550" s="29" t="s">
        <v>1029</v>
      </c>
      <c r="C550" s="29" t="s">
        <v>1029</v>
      </c>
      <c r="D550" s="155">
        <f>12181/1000</f>
        <v>12.181</v>
      </c>
      <c r="E550" s="56" t="s">
        <v>1028</v>
      </c>
      <c r="F550" s="154"/>
      <c r="G550" s="153"/>
    </row>
    <row r="551" spans="1:7" s="119" customFormat="1" ht="25.5">
      <c r="A551" s="61" t="s">
        <v>583</v>
      </c>
      <c r="B551" s="56" t="s">
        <v>1027</v>
      </c>
      <c r="C551" s="56" t="s">
        <v>1027</v>
      </c>
      <c r="D551" s="155">
        <f>120487/1000</f>
        <v>120.487</v>
      </c>
      <c r="E551" s="56" t="s">
        <v>1025</v>
      </c>
      <c r="F551" s="154"/>
      <c r="G551" s="153"/>
    </row>
    <row r="552" spans="1:7" s="119" customFormat="1" ht="25.5">
      <c r="A552" s="61" t="s">
        <v>583</v>
      </c>
      <c r="B552" s="56" t="s">
        <v>1026</v>
      </c>
      <c r="C552" s="56" t="s">
        <v>1026</v>
      </c>
      <c r="D552" s="155">
        <f>106197/1000</f>
        <v>106.197</v>
      </c>
      <c r="E552" s="56" t="s">
        <v>1025</v>
      </c>
      <c r="F552" s="154"/>
      <c r="G552" s="153"/>
    </row>
    <row r="553" spans="1:7" s="119" customFormat="1" ht="25.5">
      <c r="A553" s="61" t="s">
        <v>583</v>
      </c>
      <c r="B553" s="56" t="s">
        <v>1024</v>
      </c>
      <c r="C553" s="56" t="s">
        <v>1024</v>
      </c>
      <c r="D553" s="155">
        <f>89844.8/1000</f>
        <v>89.8448</v>
      </c>
      <c r="E553" s="56" t="s">
        <v>1020</v>
      </c>
      <c r="F553" s="154"/>
      <c r="G553" s="153"/>
    </row>
    <row r="554" spans="1:7" s="119" customFormat="1" ht="25.5">
      <c r="A554" s="61" t="s">
        <v>583</v>
      </c>
      <c r="B554" s="56" t="s">
        <v>1023</v>
      </c>
      <c r="C554" s="56" t="s">
        <v>1023</v>
      </c>
      <c r="D554" s="155">
        <f>2569.67/1000</f>
        <v>2.56967</v>
      </c>
      <c r="E554" s="56" t="s">
        <v>1020</v>
      </c>
      <c r="F554" s="154"/>
      <c r="G554" s="153"/>
    </row>
    <row r="555" spans="1:7" s="119" customFormat="1" ht="25.5">
      <c r="A555" s="61" t="s">
        <v>583</v>
      </c>
      <c r="B555" s="56" t="s">
        <v>1022</v>
      </c>
      <c r="C555" s="56" t="s">
        <v>1022</v>
      </c>
      <c r="D555" s="155">
        <f>60546.23/1000</f>
        <v>60.54623</v>
      </c>
      <c r="E555" s="56" t="s">
        <v>1020</v>
      </c>
      <c r="F555" s="154"/>
      <c r="G555" s="153"/>
    </row>
    <row r="556" spans="1:7" s="119" customFormat="1" ht="25.5">
      <c r="A556" s="61" t="s">
        <v>583</v>
      </c>
      <c r="B556" s="56" t="s">
        <v>1022</v>
      </c>
      <c r="C556" s="56" t="s">
        <v>1022</v>
      </c>
      <c r="D556" s="155">
        <f>14011.95/1000</f>
        <v>14.01195</v>
      </c>
      <c r="E556" s="56" t="s">
        <v>1020</v>
      </c>
      <c r="F556" s="154"/>
      <c r="G556" s="153"/>
    </row>
    <row r="557" spans="1:7" s="119" customFormat="1" ht="25.5">
      <c r="A557" s="61" t="s">
        <v>583</v>
      </c>
      <c r="B557" s="56" t="s">
        <v>1021</v>
      </c>
      <c r="C557" s="56" t="s">
        <v>1021</v>
      </c>
      <c r="D557" s="155">
        <f>101691.76/1000</f>
        <v>101.69175999999999</v>
      </c>
      <c r="E557" s="56" t="s">
        <v>1020</v>
      </c>
      <c r="F557" s="154"/>
      <c r="G557" s="153"/>
    </row>
    <row r="558" spans="1:7" s="119" customFormat="1" ht="25.5">
      <c r="A558" s="61" t="s">
        <v>583</v>
      </c>
      <c r="B558" s="56" t="s">
        <v>1019</v>
      </c>
      <c r="C558" s="56" t="s">
        <v>1019</v>
      </c>
      <c r="D558" s="155">
        <f>63979.08/1000</f>
        <v>63.97908</v>
      </c>
      <c r="E558" s="56" t="s">
        <v>849</v>
      </c>
      <c r="F558" s="154"/>
      <c r="G558" s="153"/>
    </row>
    <row r="559" spans="1:7" s="119" customFormat="1" ht="25.5">
      <c r="A559" s="61" t="s">
        <v>583</v>
      </c>
      <c r="B559" s="56" t="s">
        <v>1018</v>
      </c>
      <c r="C559" s="56" t="s">
        <v>1018</v>
      </c>
      <c r="D559" s="155">
        <f>50738.95/1000</f>
        <v>50.738949999999996</v>
      </c>
      <c r="E559" s="56" t="s">
        <v>849</v>
      </c>
      <c r="F559" s="154"/>
      <c r="G559" s="153"/>
    </row>
    <row r="560" spans="1:7" s="119" customFormat="1" ht="25.5">
      <c r="A560" s="61" t="s">
        <v>583</v>
      </c>
      <c r="B560" s="56" t="s">
        <v>1017</v>
      </c>
      <c r="C560" s="56" t="s">
        <v>1017</v>
      </c>
      <c r="D560" s="155">
        <f>39383.02/1000</f>
        <v>39.383019999999995</v>
      </c>
      <c r="E560" s="56" t="s">
        <v>849</v>
      </c>
      <c r="F560" s="154"/>
      <c r="G560" s="153"/>
    </row>
    <row r="561" spans="1:7" s="119" customFormat="1" ht="12.75">
      <c r="A561" s="61" t="s">
        <v>583</v>
      </c>
      <c r="B561" s="56" t="s">
        <v>1016</v>
      </c>
      <c r="C561" s="56" t="s">
        <v>1016</v>
      </c>
      <c r="D561" s="155">
        <f>96305/1000</f>
        <v>96.305</v>
      </c>
      <c r="E561" s="56" t="s">
        <v>839</v>
      </c>
      <c r="F561" s="154"/>
      <c r="G561" s="153"/>
    </row>
    <row r="562" spans="1:7" s="119" customFormat="1" ht="38.25">
      <c r="A562" s="24" t="s">
        <v>583</v>
      </c>
      <c r="B562" s="35" t="s">
        <v>1015</v>
      </c>
      <c r="C562" s="35" t="s">
        <v>1014</v>
      </c>
      <c r="D562" s="71">
        <f>F562/1000</f>
        <v>51.03</v>
      </c>
      <c r="E562" s="35" t="s">
        <v>1013</v>
      </c>
      <c r="F562" s="134">
        <v>51030</v>
      </c>
      <c r="G562" s="153"/>
    </row>
    <row r="563" spans="1:7" s="119" customFormat="1" ht="25.5">
      <c r="A563" s="24" t="s">
        <v>583</v>
      </c>
      <c r="B563" s="61" t="s">
        <v>1012</v>
      </c>
      <c r="C563" s="61" t="s">
        <v>1011</v>
      </c>
      <c r="D563" s="71">
        <f>F563/1000</f>
        <v>31.254</v>
      </c>
      <c r="E563" s="61" t="s">
        <v>1009</v>
      </c>
      <c r="F563" s="134">
        <v>31254</v>
      </c>
      <c r="G563" s="153"/>
    </row>
    <row r="564" spans="1:7" s="119" customFormat="1" ht="25.5">
      <c r="A564" s="24" t="s">
        <v>583</v>
      </c>
      <c r="B564" s="61" t="s">
        <v>1010</v>
      </c>
      <c r="C564" s="61" t="s">
        <v>1010</v>
      </c>
      <c r="D564" s="71">
        <f>F564/1000</f>
        <v>122.21039999999999</v>
      </c>
      <c r="E564" s="61" t="s">
        <v>1009</v>
      </c>
      <c r="F564" s="134">
        <v>122210.4</v>
      </c>
      <c r="G564" s="153"/>
    </row>
    <row r="565" spans="1:7" s="119" customFormat="1" ht="25.5">
      <c r="A565" s="24" t="s">
        <v>583</v>
      </c>
      <c r="B565" s="61" t="s">
        <v>1008</v>
      </c>
      <c r="C565" s="61" t="s">
        <v>1007</v>
      </c>
      <c r="D565" s="71">
        <f>F565/1000</f>
        <v>137.31001999999998</v>
      </c>
      <c r="E565" s="35" t="s">
        <v>996</v>
      </c>
      <c r="F565" s="134">
        <v>137310.02</v>
      </c>
      <c r="G565" s="153"/>
    </row>
    <row r="566" spans="1:7" s="119" customFormat="1" ht="25.5">
      <c r="A566" s="24" t="s">
        <v>583</v>
      </c>
      <c r="B566" s="61" t="s">
        <v>1006</v>
      </c>
      <c r="C566" s="61" t="s">
        <v>1005</v>
      </c>
      <c r="D566" s="71">
        <f>F566/1000</f>
        <v>74.89763</v>
      </c>
      <c r="E566" s="35" t="s">
        <v>996</v>
      </c>
      <c r="F566" s="134">
        <v>74897.63</v>
      </c>
      <c r="G566" s="153"/>
    </row>
    <row r="567" spans="1:7" s="119" customFormat="1" ht="25.5">
      <c r="A567" s="24" t="s">
        <v>583</v>
      </c>
      <c r="B567" s="61" t="s">
        <v>1004</v>
      </c>
      <c r="C567" s="61" t="s">
        <v>1004</v>
      </c>
      <c r="D567" s="71">
        <f>F567/1000</f>
        <v>75.53471</v>
      </c>
      <c r="E567" s="35" t="s">
        <v>996</v>
      </c>
      <c r="F567" s="134">
        <v>75534.71</v>
      </c>
      <c r="G567" s="153"/>
    </row>
    <row r="568" spans="1:7" s="119" customFormat="1" ht="25.5">
      <c r="A568" s="24" t="s">
        <v>583</v>
      </c>
      <c r="B568" s="61" t="s">
        <v>1003</v>
      </c>
      <c r="C568" s="61" t="s">
        <v>1003</v>
      </c>
      <c r="D568" s="71">
        <f>F568/1000</f>
        <v>95.49534</v>
      </c>
      <c r="E568" s="35" t="s">
        <v>996</v>
      </c>
      <c r="F568" s="134">
        <v>95495.34</v>
      </c>
      <c r="G568" s="153"/>
    </row>
    <row r="569" spans="1:7" s="119" customFormat="1" ht="25.5">
      <c r="A569" s="24" t="s">
        <v>583</v>
      </c>
      <c r="B569" s="61" t="s">
        <v>1002</v>
      </c>
      <c r="C569" s="61" t="s">
        <v>1001</v>
      </c>
      <c r="D569" s="71">
        <f>F569/1000</f>
        <v>94.43396000000001</v>
      </c>
      <c r="E569" s="35" t="s">
        <v>996</v>
      </c>
      <c r="F569" s="134">
        <v>94433.96</v>
      </c>
      <c r="G569" s="153"/>
    </row>
    <row r="570" spans="1:7" s="119" customFormat="1" ht="25.5">
      <c r="A570" s="24" t="s">
        <v>583</v>
      </c>
      <c r="B570" s="61" t="s">
        <v>1000</v>
      </c>
      <c r="C570" s="61" t="s">
        <v>999</v>
      </c>
      <c r="D570" s="71">
        <f>F570/1000</f>
        <v>171.11279000000002</v>
      </c>
      <c r="E570" s="35" t="s">
        <v>996</v>
      </c>
      <c r="F570" s="134">
        <v>171112.79</v>
      </c>
      <c r="G570" s="153"/>
    </row>
    <row r="571" spans="1:7" s="119" customFormat="1" ht="25.5">
      <c r="A571" s="24" t="s">
        <v>583</v>
      </c>
      <c r="B571" s="61" t="s">
        <v>998</v>
      </c>
      <c r="C571" s="61" t="s">
        <v>997</v>
      </c>
      <c r="D571" s="71">
        <f>F571/1000</f>
        <v>88.85016</v>
      </c>
      <c r="E571" s="35" t="s">
        <v>996</v>
      </c>
      <c r="F571" s="134">
        <v>88850.16</v>
      </c>
      <c r="G571" s="153"/>
    </row>
    <row r="572" spans="1:7" s="119" customFormat="1" ht="25.5">
      <c r="A572" s="24" t="s">
        <v>583</v>
      </c>
      <c r="B572" s="61" t="s">
        <v>995</v>
      </c>
      <c r="C572" s="61" t="s">
        <v>994</v>
      </c>
      <c r="D572" s="71">
        <f>F572/1000</f>
        <v>5.634</v>
      </c>
      <c r="E572" s="35" t="s">
        <v>960</v>
      </c>
      <c r="F572" s="134">
        <v>5634</v>
      </c>
      <c r="G572" s="153"/>
    </row>
    <row r="573" spans="1:7" s="119" customFormat="1" ht="25.5">
      <c r="A573" s="24" t="s">
        <v>583</v>
      </c>
      <c r="B573" s="61" t="s">
        <v>993</v>
      </c>
      <c r="C573" s="61" t="s">
        <v>992</v>
      </c>
      <c r="D573" s="71">
        <f>F573/1000</f>
        <v>3.1128</v>
      </c>
      <c r="E573" s="35" t="s">
        <v>960</v>
      </c>
      <c r="F573" s="134">
        <v>3112.8</v>
      </c>
      <c r="G573" s="153"/>
    </row>
    <row r="574" spans="1:7" s="119" customFormat="1" ht="25.5">
      <c r="A574" s="24" t="s">
        <v>583</v>
      </c>
      <c r="B574" s="61" t="s">
        <v>991</v>
      </c>
      <c r="C574" s="61" t="s">
        <v>990</v>
      </c>
      <c r="D574" s="71">
        <f>F574/1000</f>
        <v>8.8704</v>
      </c>
      <c r="E574" s="35" t="s">
        <v>960</v>
      </c>
      <c r="F574" s="134">
        <v>8870.4</v>
      </c>
      <c r="G574" s="153"/>
    </row>
    <row r="575" spans="1:7" s="119" customFormat="1" ht="25.5">
      <c r="A575" s="24" t="s">
        <v>583</v>
      </c>
      <c r="B575" s="61" t="s">
        <v>989</v>
      </c>
      <c r="C575" s="61" t="s">
        <v>988</v>
      </c>
      <c r="D575" s="71">
        <f>F575/1000</f>
        <v>9.6372</v>
      </c>
      <c r="E575" s="35" t="s">
        <v>960</v>
      </c>
      <c r="F575" s="134">
        <v>9637.2</v>
      </c>
      <c r="G575" s="153"/>
    </row>
    <row r="576" spans="1:7" s="119" customFormat="1" ht="25.5">
      <c r="A576" s="24" t="s">
        <v>583</v>
      </c>
      <c r="B576" s="61" t="s">
        <v>987</v>
      </c>
      <c r="C576" s="61" t="s">
        <v>987</v>
      </c>
      <c r="D576" s="71">
        <f>F576/1000</f>
        <v>11.932799999999999</v>
      </c>
      <c r="E576" s="35" t="s">
        <v>960</v>
      </c>
      <c r="F576" s="134">
        <v>11932.8</v>
      </c>
      <c r="G576" s="153"/>
    </row>
    <row r="577" spans="1:7" s="119" customFormat="1" ht="25.5">
      <c r="A577" s="24" t="s">
        <v>583</v>
      </c>
      <c r="B577" s="61" t="s">
        <v>986</v>
      </c>
      <c r="C577" s="61" t="s">
        <v>986</v>
      </c>
      <c r="D577" s="71">
        <f>F577/1000</f>
        <v>12.962399999999999</v>
      </c>
      <c r="E577" s="35" t="s">
        <v>960</v>
      </c>
      <c r="F577" s="134">
        <v>12962.4</v>
      </c>
      <c r="G577" s="153"/>
    </row>
    <row r="578" spans="1:7" s="119" customFormat="1" ht="25.5">
      <c r="A578" s="24" t="s">
        <v>583</v>
      </c>
      <c r="B578" s="61" t="s">
        <v>985</v>
      </c>
      <c r="C578" s="61" t="s">
        <v>985</v>
      </c>
      <c r="D578" s="71">
        <f>F578/1000</f>
        <v>9.880799999999999</v>
      </c>
      <c r="E578" s="35" t="s">
        <v>960</v>
      </c>
      <c r="F578" s="134">
        <v>9880.8</v>
      </c>
      <c r="G578" s="153"/>
    </row>
    <row r="579" spans="1:7" s="119" customFormat="1" ht="25.5">
      <c r="A579" s="24" t="s">
        <v>583</v>
      </c>
      <c r="B579" s="61" t="s">
        <v>984</v>
      </c>
      <c r="C579" s="61" t="s">
        <v>984</v>
      </c>
      <c r="D579" s="71">
        <f>F579/1000</f>
        <v>6.1428</v>
      </c>
      <c r="E579" s="35" t="s">
        <v>960</v>
      </c>
      <c r="F579" s="134">
        <v>6142.8</v>
      </c>
      <c r="G579" s="153"/>
    </row>
    <row r="580" spans="1:7" s="119" customFormat="1" ht="25.5">
      <c r="A580" s="24" t="s">
        <v>583</v>
      </c>
      <c r="B580" s="61" t="s">
        <v>983</v>
      </c>
      <c r="C580" s="61" t="s">
        <v>983</v>
      </c>
      <c r="D580" s="71">
        <f>F580/1000</f>
        <v>6.0156</v>
      </c>
      <c r="E580" s="35" t="s">
        <v>960</v>
      </c>
      <c r="F580" s="134">
        <v>6015.6</v>
      </c>
      <c r="G580" s="153"/>
    </row>
    <row r="581" spans="1:7" s="119" customFormat="1" ht="25.5">
      <c r="A581" s="24" t="s">
        <v>583</v>
      </c>
      <c r="B581" s="61" t="s">
        <v>982</v>
      </c>
      <c r="C581" s="61" t="s">
        <v>982</v>
      </c>
      <c r="D581" s="71">
        <f>F581/1000</f>
        <v>10.1604</v>
      </c>
      <c r="E581" s="35" t="s">
        <v>960</v>
      </c>
      <c r="F581" s="134">
        <v>10160.4</v>
      </c>
      <c r="G581" s="153"/>
    </row>
    <row r="582" spans="1:7" s="119" customFormat="1" ht="25.5">
      <c r="A582" s="24" t="s">
        <v>583</v>
      </c>
      <c r="B582" s="61" t="s">
        <v>981</v>
      </c>
      <c r="C582" s="61" t="s">
        <v>981</v>
      </c>
      <c r="D582" s="71">
        <f>F582/1000</f>
        <v>10.808399999999999</v>
      </c>
      <c r="E582" s="35" t="s">
        <v>960</v>
      </c>
      <c r="F582" s="134">
        <v>10808.4</v>
      </c>
      <c r="G582" s="153"/>
    </row>
    <row r="583" spans="1:7" s="119" customFormat="1" ht="25.5">
      <c r="A583" s="24" t="s">
        <v>583</v>
      </c>
      <c r="B583" s="61" t="s">
        <v>980</v>
      </c>
      <c r="C583" s="61" t="s">
        <v>980</v>
      </c>
      <c r="D583" s="71">
        <f>F583/1000</f>
        <v>12.1776</v>
      </c>
      <c r="E583" s="35" t="s">
        <v>960</v>
      </c>
      <c r="F583" s="134">
        <v>12177.6</v>
      </c>
      <c r="G583" s="153"/>
    </row>
    <row r="584" spans="1:7" s="119" customFormat="1" ht="25.5">
      <c r="A584" s="24" t="s">
        <v>583</v>
      </c>
      <c r="B584" s="61" t="s">
        <v>979</v>
      </c>
      <c r="C584" s="61" t="s">
        <v>979</v>
      </c>
      <c r="D584" s="71">
        <f>F584/1000</f>
        <v>12.144</v>
      </c>
      <c r="E584" s="35" t="s">
        <v>960</v>
      </c>
      <c r="F584" s="134">
        <v>12144</v>
      </c>
      <c r="G584" s="153"/>
    </row>
    <row r="585" spans="1:7" s="119" customFormat="1" ht="25.5">
      <c r="A585" s="24" t="s">
        <v>583</v>
      </c>
      <c r="B585" s="61" t="s">
        <v>978</v>
      </c>
      <c r="C585" s="61" t="s">
        <v>978</v>
      </c>
      <c r="D585" s="71">
        <f>F585/1000</f>
        <v>5.3052</v>
      </c>
      <c r="E585" s="35" t="s">
        <v>960</v>
      </c>
      <c r="F585" s="134">
        <v>5305.2</v>
      </c>
      <c r="G585" s="153"/>
    </row>
    <row r="586" spans="1:7" s="119" customFormat="1" ht="25.5">
      <c r="A586" s="24" t="s">
        <v>583</v>
      </c>
      <c r="B586" s="61" t="s">
        <v>977</v>
      </c>
      <c r="C586" s="61" t="s">
        <v>977</v>
      </c>
      <c r="D586" s="71">
        <f>F586/1000</f>
        <v>8.3712</v>
      </c>
      <c r="E586" s="35" t="s">
        <v>960</v>
      </c>
      <c r="F586" s="134">
        <v>8371.2</v>
      </c>
      <c r="G586" s="153"/>
    </row>
    <row r="587" spans="1:7" s="119" customFormat="1" ht="25.5">
      <c r="A587" s="24" t="s">
        <v>583</v>
      </c>
      <c r="B587" s="61" t="s">
        <v>976</v>
      </c>
      <c r="C587" s="61" t="s">
        <v>975</v>
      </c>
      <c r="D587" s="71">
        <f>F587/1000</f>
        <v>8.271600000000001</v>
      </c>
      <c r="E587" s="35" t="s">
        <v>960</v>
      </c>
      <c r="F587" s="134">
        <v>8271.6</v>
      </c>
      <c r="G587" s="153"/>
    </row>
    <row r="588" spans="1:7" s="119" customFormat="1" ht="25.5">
      <c r="A588" s="24" t="s">
        <v>583</v>
      </c>
      <c r="B588" s="61" t="s">
        <v>974</v>
      </c>
      <c r="C588" s="61" t="s">
        <v>974</v>
      </c>
      <c r="D588" s="71">
        <f>F588/1000</f>
        <v>12.804</v>
      </c>
      <c r="E588" s="35" t="s">
        <v>960</v>
      </c>
      <c r="F588" s="134">
        <v>12804</v>
      </c>
      <c r="G588" s="153"/>
    </row>
    <row r="589" spans="1:7" s="119" customFormat="1" ht="25.5">
      <c r="A589" s="24" t="s">
        <v>583</v>
      </c>
      <c r="B589" s="61" t="s">
        <v>973</v>
      </c>
      <c r="C589" s="61" t="s">
        <v>973</v>
      </c>
      <c r="D589" s="71">
        <f>F589/1000</f>
        <v>10.162799999999999</v>
      </c>
      <c r="E589" s="35" t="s">
        <v>960</v>
      </c>
      <c r="F589" s="134">
        <v>10162.8</v>
      </c>
      <c r="G589" s="153"/>
    </row>
    <row r="590" spans="1:7" s="119" customFormat="1" ht="25.5">
      <c r="A590" s="24" t="s">
        <v>583</v>
      </c>
      <c r="B590" s="61" t="s">
        <v>972</v>
      </c>
      <c r="C590" s="61" t="s">
        <v>972</v>
      </c>
      <c r="D590" s="71">
        <f>F590/1000</f>
        <v>55.633199999999995</v>
      </c>
      <c r="E590" s="35" t="s">
        <v>960</v>
      </c>
      <c r="F590" s="134">
        <v>55633.2</v>
      </c>
      <c r="G590" s="153"/>
    </row>
    <row r="591" spans="1:7" s="119" customFormat="1" ht="25.5">
      <c r="A591" s="24" t="s">
        <v>583</v>
      </c>
      <c r="B591" s="61" t="s">
        <v>971</v>
      </c>
      <c r="C591" s="61" t="s">
        <v>971</v>
      </c>
      <c r="D591" s="71">
        <f>F591/1000</f>
        <v>26.006400000000003</v>
      </c>
      <c r="E591" s="35" t="s">
        <v>960</v>
      </c>
      <c r="F591" s="134">
        <v>26006.4</v>
      </c>
      <c r="G591" s="153"/>
    </row>
    <row r="592" spans="1:7" s="119" customFormat="1" ht="25.5">
      <c r="A592" s="24" t="s">
        <v>583</v>
      </c>
      <c r="B592" s="61" t="s">
        <v>970</v>
      </c>
      <c r="C592" s="61" t="s">
        <v>970</v>
      </c>
      <c r="D592" s="71">
        <f>F592/1000</f>
        <v>19.7112</v>
      </c>
      <c r="E592" s="35" t="s">
        <v>960</v>
      </c>
      <c r="F592" s="134">
        <v>19711.2</v>
      </c>
      <c r="G592" s="153"/>
    </row>
    <row r="593" spans="1:7" s="119" customFormat="1" ht="25.5">
      <c r="A593" s="24" t="s">
        <v>583</v>
      </c>
      <c r="B593" s="61" t="s">
        <v>969</v>
      </c>
      <c r="C593" s="61" t="s">
        <v>969</v>
      </c>
      <c r="D593" s="71">
        <f>F593/1000</f>
        <v>12.040799999999999</v>
      </c>
      <c r="E593" s="35" t="s">
        <v>960</v>
      </c>
      <c r="F593" s="134">
        <v>12040.8</v>
      </c>
      <c r="G593" s="153"/>
    </row>
    <row r="594" spans="1:7" s="119" customFormat="1" ht="25.5">
      <c r="A594" s="24" t="s">
        <v>583</v>
      </c>
      <c r="B594" s="61" t="s">
        <v>968</v>
      </c>
      <c r="C594" s="61" t="s">
        <v>968</v>
      </c>
      <c r="D594" s="71">
        <f>F594/1000</f>
        <v>11.6736</v>
      </c>
      <c r="E594" s="35" t="s">
        <v>960</v>
      </c>
      <c r="F594" s="134">
        <v>11673.6</v>
      </c>
      <c r="G594" s="153"/>
    </row>
    <row r="595" spans="1:7" s="119" customFormat="1" ht="25.5">
      <c r="A595" s="24" t="s">
        <v>583</v>
      </c>
      <c r="B595" s="61" t="s">
        <v>967</v>
      </c>
      <c r="C595" s="61" t="s">
        <v>967</v>
      </c>
      <c r="D595" s="71">
        <f>F595/1000</f>
        <v>19.938</v>
      </c>
      <c r="E595" s="35" t="s">
        <v>960</v>
      </c>
      <c r="F595" s="134">
        <v>19938</v>
      </c>
      <c r="G595" s="153"/>
    </row>
    <row r="596" spans="1:7" s="119" customFormat="1" ht="25.5">
      <c r="A596" s="24" t="s">
        <v>583</v>
      </c>
      <c r="B596" s="61" t="s">
        <v>966</v>
      </c>
      <c r="C596" s="61" t="s">
        <v>966</v>
      </c>
      <c r="D596" s="71">
        <f>F596/1000</f>
        <v>12.984</v>
      </c>
      <c r="E596" s="35" t="s">
        <v>960</v>
      </c>
      <c r="F596" s="134">
        <v>12984</v>
      </c>
      <c r="G596" s="153"/>
    </row>
    <row r="597" spans="1:7" s="119" customFormat="1" ht="25.5">
      <c r="A597" s="24" t="s">
        <v>583</v>
      </c>
      <c r="B597" s="61" t="s">
        <v>965</v>
      </c>
      <c r="C597" s="61" t="s">
        <v>965</v>
      </c>
      <c r="D597" s="71">
        <f>F597/1000</f>
        <v>10.4976</v>
      </c>
      <c r="E597" s="35" t="s">
        <v>960</v>
      </c>
      <c r="F597" s="134">
        <v>10497.6</v>
      </c>
      <c r="G597" s="153"/>
    </row>
    <row r="598" spans="1:7" s="119" customFormat="1" ht="25.5">
      <c r="A598" s="24" t="s">
        <v>583</v>
      </c>
      <c r="B598" s="61" t="s">
        <v>964</v>
      </c>
      <c r="C598" s="61" t="s">
        <v>964</v>
      </c>
      <c r="D598" s="71">
        <f>F598/1000</f>
        <v>16.2516</v>
      </c>
      <c r="E598" s="35" t="s">
        <v>960</v>
      </c>
      <c r="F598" s="134">
        <v>16251.6</v>
      </c>
      <c r="G598" s="153"/>
    </row>
    <row r="599" spans="1:7" s="119" customFormat="1" ht="25.5">
      <c r="A599" s="24" t="s">
        <v>583</v>
      </c>
      <c r="B599" s="61" t="s">
        <v>963</v>
      </c>
      <c r="C599" s="61" t="s">
        <v>963</v>
      </c>
      <c r="D599" s="71">
        <f>F599/1000</f>
        <v>9.634799999999998</v>
      </c>
      <c r="E599" s="35" t="s">
        <v>960</v>
      </c>
      <c r="F599" s="134">
        <v>9634.8</v>
      </c>
      <c r="G599" s="153"/>
    </row>
    <row r="600" spans="1:7" s="119" customFormat="1" ht="25.5">
      <c r="A600" s="24" t="s">
        <v>583</v>
      </c>
      <c r="B600" s="61" t="s">
        <v>962</v>
      </c>
      <c r="C600" s="61" t="s">
        <v>962</v>
      </c>
      <c r="D600" s="71">
        <f>F600/1000</f>
        <v>9.6972</v>
      </c>
      <c r="E600" s="35" t="s">
        <v>960</v>
      </c>
      <c r="F600" s="134">
        <v>9697.2</v>
      </c>
      <c r="G600" s="153"/>
    </row>
    <row r="601" spans="1:7" s="119" customFormat="1" ht="25.5">
      <c r="A601" s="24" t="s">
        <v>583</v>
      </c>
      <c r="B601" s="24" t="s">
        <v>961</v>
      </c>
      <c r="C601" s="24" t="s">
        <v>961</v>
      </c>
      <c r="D601" s="71">
        <f>F601/1000</f>
        <v>13.3992</v>
      </c>
      <c r="E601" s="35" t="s">
        <v>960</v>
      </c>
      <c r="F601" s="134">
        <v>13399.2</v>
      </c>
      <c r="G601" s="153"/>
    </row>
    <row r="602" spans="1:7" s="119" customFormat="1" ht="25.5">
      <c r="A602" s="24" t="s">
        <v>583</v>
      </c>
      <c r="B602" s="61" t="s">
        <v>959</v>
      </c>
      <c r="C602" s="61" t="s">
        <v>958</v>
      </c>
      <c r="D602" s="71">
        <f>F602/1000</f>
        <v>4.0445</v>
      </c>
      <c r="E602" s="61" t="s">
        <v>957</v>
      </c>
      <c r="F602" s="134">
        <v>4044.5</v>
      </c>
      <c r="G602" s="153"/>
    </row>
    <row r="603" spans="1:7" s="119" customFormat="1" ht="25.5">
      <c r="A603" s="24" t="s">
        <v>583</v>
      </c>
      <c r="B603" s="61" t="s">
        <v>956</v>
      </c>
      <c r="C603" s="61" t="s">
        <v>956</v>
      </c>
      <c r="D603" s="71">
        <f>F603/1000</f>
        <v>84.39272</v>
      </c>
      <c r="E603" s="35" t="s">
        <v>953</v>
      </c>
      <c r="F603" s="134">
        <v>84392.72</v>
      </c>
      <c r="G603" s="153"/>
    </row>
    <row r="604" spans="1:7" s="119" customFormat="1" ht="25.5">
      <c r="A604" s="24" t="s">
        <v>583</v>
      </c>
      <c r="B604" s="61" t="s">
        <v>955</v>
      </c>
      <c r="C604" s="61" t="s">
        <v>954</v>
      </c>
      <c r="D604" s="71">
        <f>F604/1000</f>
        <v>179.93157</v>
      </c>
      <c r="E604" s="35" t="s">
        <v>953</v>
      </c>
      <c r="F604" s="134">
        <v>179931.57</v>
      </c>
      <c r="G604" s="153"/>
    </row>
    <row r="605" spans="1:7" s="119" customFormat="1" ht="25.5">
      <c r="A605" s="24" t="s">
        <v>583</v>
      </c>
      <c r="B605" s="61" t="s">
        <v>952</v>
      </c>
      <c r="C605" s="61" t="s">
        <v>952</v>
      </c>
      <c r="D605" s="71">
        <f>F605/1000</f>
        <v>19.58759</v>
      </c>
      <c r="E605" s="61" t="s">
        <v>951</v>
      </c>
      <c r="F605" s="134">
        <v>19587.59</v>
      </c>
      <c r="G605" s="153"/>
    </row>
    <row r="606" spans="1:7" s="119" customFormat="1" ht="25.5">
      <c r="A606" s="24" t="s">
        <v>583</v>
      </c>
      <c r="B606" s="61" t="s">
        <v>950</v>
      </c>
      <c r="C606" s="61" t="s">
        <v>950</v>
      </c>
      <c r="D606" s="71">
        <f>F606/1000</f>
        <v>15.98551</v>
      </c>
      <c r="E606" s="35" t="s">
        <v>949</v>
      </c>
      <c r="F606" s="134">
        <v>15985.51</v>
      </c>
      <c r="G606" s="153"/>
    </row>
    <row r="607" spans="1:7" s="119" customFormat="1" ht="25.5">
      <c r="A607" s="24" t="s">
        <v>583</v>
      </c>
      <c r="B607" s="61" t="s">
        <v>948</v>
      </c>
      <c r="C607" s="61" t="s">
        <v>948</v>
      </c>
      <c r="D607" s="71">
        <f>F607/1000</f>
        <v>171.80481</v>
      </c>
      <c r="E607" s="61" t="s">
        <v>947</v>
      </c>
      <c r="F607" s="134">
        <v>171804.81</v>
      </c>
      <c r="G607" s="153"/>
    </row>
    <row r="608" spans="1:7" s="119" customFormat="1" ht="25.5">
      <c r="A608" s="24" t="s">
        <v>583</v>
      </c>
      <c r="B608" s="61" t="s">
        <v>946</v>
      </c>
      <c r="C608" s="61" t="s">
        <v>946</v>
      </c>
      <c r="D608" s="71">
        <f>F608/1000</f>
        <v>170</v>
      </c>
      <c r="E608" s="61" t="s">
        <v>945</v>
      </c>
      <c r="F608" s="134">
        <v>170000</v>
      </c>
      <c r="G608" s="153"/>
    </row>
    <row r="609" spans="1:7" s="119" customFormat="1" ht="25.5">
      <c r="A609" s="24" t="s">
        <v>583</v>
      </c>
      <c r="B609" s="61" t="s">
        <v>944</v>
      </c>
      <c r="C609" s="61" t="s">
        <v>944</v>
      </c>
      <c r="D609" s="71">
        <f>F609/1000</f>
        <v>210.36409</v>
      </c>
      <c r="E609" s="61" t="s">
        <v>943</v>
      </c>
      <c r="F609" s="134">
        <v>210364.09</v>
      </c>
      <c r="G609" s="153"/>
    </row>
    <row r="610" spans="1:7" s="119" customFormat="1" ht="25.5">
      <c r="A610" s="24" t="s">
        <v>583</v>
      </c>
      <c r="B610" s="61" t="s">
        <v>942</v>
      </c>
      <c r="C610" s="61" t="s">
        <v>942</v>
      </c>
      <c r="D610" s="71">
        <f>F610/1000</f>
        <v>95.31506</v>
      </c>
      <c r="E610" s="61" t="s">
        <v>941</v>
      </c>
      <c r="F610" s="134">
        <v>95315.06</v>
      </c>
      <c r="G610" s="153"/>
    </row>
    <row r="611" spans="1:7" s="119" customFormat="1" ht="25.5">
      <c r="A611" s="24" t="s">
        <v>583</v>
      </c>
      <c r="B611" s="35" t="s">
        <v>940</v>
      </c>
      <c r="C611" s="35" t="s">
        <v>940</v>
      </c>
      <c r="D611" s="71">
        <f>F611/1000</f>
        <v>199.99718</v>
      </c>
      <c r="E611" s="35" t="s">
        <v>939</v>
      </c>
      <c r="F611" s="134">
        <v>199997.18</v>
      </c>
      <c r="G611" s="153"/>
    </row>
    <row r="612" spans="1:7" s="119" customFormat="1" ht="25.5">
      <c r="A612" s="24" t="s">
        <v>583</v>
      </c>
      <c r="B612" s="61" t="s">
        <v>938</v>
      </c>
      <c r="C612" s="61" t="s">
        <v>938</v>
      </c>
      <c r="D612" s="71">
        <f>F612/1000</f>
        <v>160.38589000000002</v>
      </c>
      <c r="E612" s="35" t="s">
        <v>932</v>
      </c>
      <c r="F612" s="134">
        <v>160385.89</v>
      </c>
      <c r="G612" s="153"/>
    </row>
    <row r="613" spans="1:7" s="119" customFormat="1" ht="25.5">
      <c r="A613" s="24" t="s">
        <v>583</v>
      </c>
      <c r="B613" s="61" t="s">
        <v>937</v>
      </c>
      <c r="C613" s="61" t="s">
        <v>937</v>
      </c>
      <c r="D613" s="71">
        <f>F613/1000</f>
        <v>196.26176</v>
      </c>
      <c r="E613" s="35" t="s">
        <v>932</v>
      </c>
      <c r="F613" s="134">
        <v>196261.76</v>
      </c>
      <c r="G613" s="153"/>
    </row>
    <row r="614" spans="1:7" s="119" customFormat="1" ht="25.5">
      <c r="A614" s="24" t="s">
        <v>583</v>
      </c>
      <c r="B614" s="61" t="s">
        <v>936</v>
      </c>
      <c r="C614" s="61" t="s">
        <v>936</v>
      </c>
      <c r="D614" s="71">
        <f>F614/1000</f>
        <v>196.34138000000002</v>
      </c>
      <c r="E614" s="35" t="s">
        <v>932</v>
      </c>
      <c r="F614" s="134">
        <v>196341.38</v>
      </c>
      <c r="G614" s="153"/>
    </row>
    <row r="615" spans="1:7" s="119" customFormat="1" ht="25.5">
      <c r="A615" s="24" t="s">
        <v>583</v>
      </c>
      <c r="B615" s="61" t="s">
        <v>935</v>
      </c>
      <c r="C615" s="61" t="s">
        <v>935</v>
      </c>
      <c r="D615" s="71">
        <f>F615/1000</f>
        <v>195.96477</v>
      </c>
      <c r="E615" s="35" t="s">
        <v>932</v>
      </c>
      <c r="F615" s="134">
        <v>195964.77</v>
      </c>
      <c r="G615" s="153"/>
    </row>
    <row r="616" spans="1:7" s="119" customFormat="1" ht="25.5">
      <c r="A616" s="24" t="s">
        <v>583</v>
      </c>
      <c r="B616" s="61" t="s">
        <v>934</v>
      </c>
      <c r="C616" s="61" t="s">
        <v>934</v>
      </c>
      <c r="D616" s="71">
        <f>F616/1000</f>
        <v>171.04129</v>
      </c>
      <c r="E616" s="35" t="s">
        <v>932</v>
      </c>
      <c r="F616" s="134">
        <v>171041.29</v>
      </c>
      <c r="G616" s="153"/>
    </row>
    <row r="617" spans="1:7" s="119" customFormat="1" ht="25.5">
      <c r="A617" s="24" t="s">
        <v>583</v>
      </c>
      <c r="B617" s="61" t="s">
        <v>933</v>
      </c>
      <c r="C617" s="61" t="s">
        <v>933</v>
      </c>
      <c r="D617" s="71">
        <f>F617/1000</f>
        <v>179.45644000000001</v>
      </c>
      <c r="E617" s="35" t="s">
        <v>932</v>
      </c>
      <c r="F617" s="134">
        <v>179456.44</v>
      </c>
      <c r="G617" s="153"/>
    </row>
    <row r="618" spans="1:7" s="119" customFormat="1" ht="25.5">
      <c r="A618" s="24" t="s">
        <v>583</v>
      </c>
      <c r="B618" s="61" t="s">
        <v>931</v>
      </c>
      <c r="C618" s="61" t="s">
        <v>931</v>
      </c>
      <c r="D618" s="71">
        <f>F618/1000</f>
        <v>188.9811</v>
      </c>
      <c r="E618" s="35" t="s">
        <v>929</v>
      </c>
      <c r="F618" s="134">
        <v>188981.1</v>
      </c>
      <c r="G618" s="153"/>
    </row>
    <row r="619" spans="1:7" s="119" customFormat="1" ht="25.5">
      <c r="A619" s="24" t="s">
        <v>583</v>
      </c>
      <c r="B619" s="61" t="s">
        <v>930</v>
      </c>
      <c r="C619" s="61" t="s">
        <v>930</v>
      </c>
      <c r="D619" s="71">
        <f>F619/1000</f>
        <v>31.531</v>
      </c>
      <c r="E619" s="35" t="s">
        <v>929</v>
      </c>
      <c r="F619" s="134">
        <v>31531</v>
      </c>
      <c r="G619" s="153"/>
    </row>
    <row r="620" spans="1:7" s="119" customFormat="1" ht="25.5">
      <c r="A620" s="24" t="s">
        <v>583</v>
      </c>
      <c r="B620" s="35" t="s">
        <v>928</v>
      </c>
      <c r="C620" s="35" t="s">
        <v>928</v>
      </c>
      <c r="D620" s="71">
        <f>F620/1000</f>
        <v>145.24473999999998</v>
      </c>
      <c r="E620" s="35" t="s">
        <v>927</v>
      </c>
      <c r="F620" s="134">
        <v>145244.74</v>
      </c>
      <c r="G620" s="153"/>
    </row>
    <row r="621" spans="1:7" s="119" customFormat="1" ht="25.5">
      <c r="A621" s="24" t="s">
        <v>583</v>
      </c>
      <c r="B621" s="35" t="s">
        <v>926</v>
      </c>
      <c r="C621" s="35" t="s">
        <v>926</v>
      </c>
      <c r="D621" s="71">
        <f>F621/1000</f>
        <v>184.85871</v>
      </c>
      <c r="E621" s="35" t="s">
        <v>925</v>
      </c>
      <c r="F621" s="134">
        <v>184858.71</v>
      </c>
      <c r="G621" s="153"/>
    </row>
    <row r="622" spans="1:7" s="119" customFormat="1" ht="25.5">
      <c r="A622" s="24" t="s">
        <v>583</v>
      </c>
      <c r="B622" s="35" t="s">
        <v>924</v>
      </c>
      <c r="C622" s="35" t="s">
        <v>924</v>
      </c>
      <c r="D622" s="71">
        <f>F622/1000</f>
        <v>196.44</v>
      </c>
      <c r="E622" s="35" t="s">
        <v>923</v>
      </c>
      <c r="F622" s="134">
        <v>196440</v>
      </c>
      <c r="G622" s="153"/>
    </row>
    <row r="623" spans="1:7" s="119" customFormat="1" ht="38.25">
      <c r="A623" s="24" t="s">
        <v>583</v>
      </c>
      <c r="B623" s="61" t="s">
        <v>922</v>
      </c>
      <c r="C623" s="61" t="s">
        <v>922</v>
      </c>
      <c r="D623" s="71">
        <f>F623/1000</f>
        <v>139.61554999999998</v>
      </c>
      <c r="E623" s="35" t="s">
        <v>921</v>
      </c>
      <c r="F623" s="134">
        <v>139615.55</v>
      </c>
      <c r="G623" s="153"/>
    </row>
    <row r="624" spans="1:7" s="119" customFormat="1" ht="25.5">
      <c r="A624" s="24" t="s">
        <v>583</v>
      </c>
      <c r="B624" s="61" t="s">
        <v>920</v>
      </c>
      <c r="C624" s="61" t="s">
        <v>920</v>
      </c>
      <c r="D624" s="71">
        <f>F624/1000</f>
        <v>60.671</v>
      </c>
      <c r="E624" s="35" t="s">
        <v>917</v>
      </c>
      <c r="F624" s="134">
        <v>60671</v>
      </c>
      <c r="G624" s="153"/>
    </row>
    <row r="625" spans="1:7" s="119" customFormat="1" ht="25.5">
      <c r="A625" s="24" t="s">
        <v>583</v>
      </c>
      <c r="B625" s="61" t="s">
        <v>919</v>
      </c>
      <c r="C625" s="61" t="s">
        <v>919</v>
      </c>
      <c r="D625" s="71">
        <f>F625/1000</f>
        <v>77.836</v>
      </c>
      <c r="E625" s="35" t="s">
        <v>917</v>
      </c>
      <c r="F625" s="134">
        <v>77836</v>
      </c>
      <c r="G625" s="153"/>
    </row>
    <row r="626" spans="1:7" s="119" customFormat="1" ht="25.5">
      <c r="A626" s="24" t="s">
        <v>583</v>
      </c>
      <c r="B626" s="61" t="s">
        <v>918</v>
      </c>
      <c r="C626" s="61" t="s">
        <v>918</v>
      </c>
      <c r="D626" s="71">
        <f>F626/1000</f>
        <v>34.00583</v>
      </c>
      <c r="E626" s="35" t="s">
        <v>917</v>
      </c>
      <c r="F626" s="134">
        <v>34005.83</v>
      </c>
      <c r="G626" s="153"/>
    </row>
    <row r="627" spans="1:7" s="119" customFormat="1" ht="25.5">
      <c r="A627" s="24" t="s">
        <v>583</v>
      </c>
      <c r="B627" s="61" t="s">
        <v>916</v>
      </c>
      <c r="C627" s="61" t="s">
        <v>916</v>
      </c>
      <c r="D627" s="71">
        <f>F627/1000</f>
        <v>94.12079</v>
      </c>
      <c r="E627" s="35" t="s">
        <v>912</v>
      </c>
      <c r="F627" s="134">
        <v>94120.79</v>
      </c>
      <c r="G627" s="153"/>
    </row>
    <row r="628" spans="1:7" s="119" customFormat="1" ht="25.5">
      <c r="A628" s="24" t="s">
        <v>583</v>
      </c>
      <c r="B628" s="61" t="s">
        <v>915</v>
      </c>
      <c r="C628" s="61" t="s">
        <v>915</v>
      </c>
      <c r="D628" s="71">
        <f>F628/1000</f>
        <v>58.514669999999995</v>
      </c>
      <c r="E628" s="35" t="s">
        <v>912</v>
      </c>
      <c r="F628" s="134">
        <v>58514.67</v>
      </c>
      <c r="G628" s="153"/>
    </row>
    <row r="629" spans="1:7" s="119" customFormat="1" ht="25.5">
      <c r="A629" s="24" t="s">
        <v>583</v>
      </c>
      <c r="B629" s="61" t="s">
        <v>914</v>
      </c>
      <c r="C629" s="61" t="s">
        <v>914</v>
      </c>
      <c r="D629" s="71">
        <f>F629/1000</f>
        <v>9.08411</v>
      </c>
      <c r="E629" s="35" t="s">
        <v>912</v>
      </c>
      <c r="F629" s="134">
        <v>9084.11</v>
      </c>
      <c r="G629" s="153"/>
    </row>
    <row r="630" spans="1:7" s="119" customFormat="1" ht="25.5">
      <c r="A630" s="24" t="s">
        <v>583</v>
      </c>
      <c r="B630" s="61" t="s">
        <v>913</v>
      </c>
      <c r="C630" s="61" t="s">
        <v>913</v>
      </c>
      <c r="D630" s="71">
        <f>F630/1000</f>
        <v>58.11558</v>
      </c>
      <c r="E630" s="35" t="s">
        <v>912</v>
      </c>
      <c r="F630" s="134">
        <v>58115.58</v>
      </c>
      <c r="G630" s="153"/>
    </row>
    <row r="631" spans="1:7" s="119" customFormat="1" ht="25.5">
      <c r="A631" s="24" t="s">
        <v>583</v>
      </c>
      <c r="B631" s="61" t="s">
        <v>911</v>
      </c>
      <c r="C631" s="61" t="s">
        <v>911</v>
      </c>
      <c r="D631" s="71">
        <f>F631/1000</f>
        <v>199.176</v>
      </c>
      <c r="E631" s="35" t="s">
        <v>908</v>
      </c>
      <c r="F631" s="134">
        <v>199176</v>
      </c>
      <c r="G631" s="153"/>
    </row>
    <row r="632" spans="1:7" s="119" customFormat="1" ht="25.5">
      <c r="A632" s="24" t="s">
        <v>583</v>
      </c>
      <c r="B632" s="61" t="s">
        <v>910</v>
      </c>
      <c r="C632" s="61" t="s">
        <v>910</v>
      </c>
      <c r="D632" s="71">
        <f>F632/1000</f>
        <v>199.301</v>
      </c>
      <c r="E632" s="35" t="s">
        <v>908</v>
      </c>
      <c r="F632" s="134">
        <v>199301</v>
      </c>
      <c r="G632" s="153"/>
    </row>
    <row r="633" spans="1:7" s="119" customFormat="1" ht="38.25">
      <c r="A633" s="24" t="s">
        <v>583</v>
      </c>
      <c r="B633" s="61" t="s">
        <v>909</v>
      </c>
      <c r="C633" s="61" t="s">
        <v>909</v>
      </c>
      <c r="D633" s="71">
        <f>F633/1000</f>
        <v>176.533</v>
      </c>
      <c r="E633" s="35" t="s">
        <v>908</v>
      </c>
      <c r="F633" s="134">
        <v>176533</v>
      </c>
      <c r="G633" s="153"/>
    </row>
    <row r="634" spans="1:7" s="119" customFormat="1" ht="25.5">
      <c r="A634" s="24" t="s">
        <v>583</v>
      </c>
      <c r="B634" s="61" t="s">
        <v>907</v>
      </c>
      <c r="C634" s="61" t="s">
        <v>907</v>
      </c>
      <c r="D634" s="71">
        <f>F634/1000</f>
        <v>301.30296000000004</v>
      </c>
      <c r="E634" s="35" t="s">
        <v>903</v>
      </c>
      <c r="F634" s="134">
        <v>301302.96</v>
      </c>
      <c r="G634" s="153"/>
    </row>
    <row r="635" spans="1:7" s="119" customFormat="1" ht="25.5">
      <c r="A635" s="24" t="s">
        <v>583</v>
      </c>
      <c r="B635" s="61" t="s">
        <v>906</v>
      </c>
      <c r="C635" s="61" t="s">
        <v>906</v>
      </c>
      <c r="D635" s="71">
        <f>F635/1000</f>
        <v>282.47051</v>
      </c>
      <c r="E635" s="35" t="s">
        <v>903</v>
      </c>
      <c r="F635" s="134">
        <v>282470.51</v>
      </c>
      <c r="G635" s="153"/>
    </row>
    <row r="636" spans="1:7" s="119" customFormat="1" ht="25.5">
      <c r="A636" s="24" t="s">
        <v>583</v>
      </c>
      <c r="B636" s="61" t="s">
        <v>905</v>
      </c>
      <c r="C636" s="61" t="s">
        <v>905</v>
      </c>
      <c r="D636" s="71">
        <f>F636/1000</f>
        <v>196.37689</v>
      </c>
      <c r="E636" s="35" t="s">
        <v>903</v>
      </c>
      <c r="F636" s="134">
        <v>196376.89</v>
      </c>
      <c r="G636" s="153"/>
    </row>
    <row r="637" spans="1:7" s="119" customFormat="1" ht="25.5">
      <c r="A637" s="24" t="s">
        <v>583</v>
      </c>
      <c r="B637" s="61" t="s">
        <v>904</v>
      </c>
      <c r="C637" s="61" t="s">
        <v>904</v>
      </c>
      <c r="D637" s="71">
        <f>F637/1000</f>
        <v>196.37689</v>
      </c>
      <c r="E637" s="35" t="s">
        <v>903</v>
      </c>
      <c r="F637" s="134">
        <v>196376.89</v>
      </c>
      <c r="G637" s="153"/>
    </row>
    <row r="638" spans="1:7" s="119" customFormat="1" ht="25.5">
      <c r="A638" s="24" t="s">
        <v>583</v>
      </c>
      <c r="B638" s="24" t="s">
        <v>902</v>
      </c>
      <c r="C638" s="24" t="s">
        <v>902</v>
      </c>
      <c r="D638" s="71">
        <f>F638/1000</f>
        <v>10.3344</v>
      </c>
      <c r="E638" s="35" t="s">
        <v>896</v>
      </c>
      <c r="F638" s="134">
        <v>10334.4</v>
      </c>
      <c r="G638" s="153"/>
    </row>
    <row r="639" spans="1:7" s="119" customFormat="1" ht="25.5">
      <c r="A639" s="24" t="s">
        <v>583</v>
      </c>
      <c r="B639" s="61" t="s">
        <v>901</v>
      </c>
      <c r="C639" s="61" t="s">
        <v>901</v>
      </c>
      <c r="D639" s="71">
        <f>F639/1000</f>
        <v>12.1848</v>
      </c>
      <c r="E639" s="35" t="s">
        <v>896</v>
      </c>
      <c r="F639" s="134">
        <v>12184.8</v>
      </c>
      <c r="G639" s="153"/>
    </row>
    <row r="640" spans="1:7" s="119" customFormat="1" ht="25.5">
      <c r="A640" s="24" t="s">
        <v>583</v>
      </c>
      <c r="B640" s="61" t="s">
        <v>900</v>
      </c>
      <c r="C640" s="61" t="s">
        <v>900</v>
      </c>
      <c r="D640" s="71">
        <f>F640/1000</f>
        <v>5.2968</v>
      </c>
      <c r="E640" s="35" t="s">
        <v>896</v>
      </c>
      <c r="F640" s="134">
        <v>5296.8</v>
      </c>
      <c r="G640" s="153"/>
    </row>
    <row r="641" spans="1:7" s="119" customFormat="1" ht="25.5">
      <c r="A641" s="24" t="s">
        <v>583</v>
      </c>
      <c r="B641" s="61" t="s">
        <v>899</v>
      </c>
      <c r="C641" s="61" t="s">
        <v>899</v>
      </c>
      <c r="D641" s="71">
        <f>F641/1000</f>
        <v>5.1036</v>
      </c>
      <c r="E641" s="35" t="s">
        <v>896</v>
      </c>
      <c r="F641" s="134">
        <v>5103.6</v>
      </c>
      <c r="G641" s="153"/>
    </row>
    <row r="642" spans="1:7" s="119" customFormat="1" ht="25.5">
      <c r="A642" s="24" t="s">
        <v>583</v>
      </c>
      <c r="B642" s="61" t="s">
        <v>898</v>
      </c>
      <c r="C642" s="61" t="s">
        <v>898</v>
      </c>
      <c r="D642" s="71">
        <f>F642/1000</f>
        <v>16.7328</v>
      </c>
      <c r="E642" s="35" t="s">
        <v>896</v>
      </c>
      <c r="F642" s="134">
        <v>16732.8</v>
      </c>
      <c r="G642" s="153"/>
    </row>
    <row r="643" spans="1:7" s="119" customFormat="1" ht="25.5">
      <c r="A643" s="24" t="s">
        <v>583</v>
      </c>
      <c r="B643" s="61" t="s">
        <v>897</v>
      </c>
      <c r="C643" s="61" t="s">
        <v>897</v>
      </c>
      <c r="D643" s="71">
        <f>F643/1000</f>
        <v>15.288</v>
      </c>
      <c r="E643" s="35" t="s">
        <v>896</v>
      </c>
      <c r="F643" s="134">
        <v>15288</v>
      </c>
      <c r="G643" s="153"/>
    </row>
    <row r="644" spans="1:7" s="119" customFormat="1" ht="25.5">
      <c r="A644" s="24" t="s">
        <v>583</v>
      </c>
      <c r="B644" s="61" t="s">
        <v>895</v>
      </c>
      <c r="C644" s="61" t="s">
        <v>895</v>
      </c>
      <c r="D644" s="71">
        <f>F644/1000</f>
        <v>58.036</v>
      </c>
      <c r="E644" s="35" t="s">
        <v>893</v>
      </c>
      <c r="F644" s="134">
        <v>58036</v>
      </c>
      <c r="G644" s="153"/>
    </row>
    <row r="645" spans="1:7" s="119" customFormat="1" ht="25.5">
      <c r="A645" s="24" t="s">
        <v>583</v>
      </c>
      <c r="B645" s="61" t="s">
        <v>894</v>
      </c>
      <c r="C645" s="61" t="s">
        <v>894</v>
      </c>
      <c r="D645" s="71">
        <f>F645/1000</f>
        <v>21.911</v>
      </c>
      <c r="E645" s="35" t="s">
        <v>893</v>
      </c>
      <c r="F645" s="134">
        <v>21911</v>
      </c>
      <c r="G645" s="153"/>
    </row>
    <row r="646" spans="1:7" s="119" customFormat="1" ht="25.5">
      <c r="A646" s="24" t="s">
        <v>583</v>
      </c>
      <c r="B646" s="35" t="s">
        <v>892</v>
      </c>
      <c r="C646" s="35" t="s">
        <v>892</v>
      </c>
      <c r="D646" s="71">
        <f>F646/1000</f>
        <v>174.46573</v>
      </c>
      <c r="E646" s="35" t="s">
        <v>891</v>
      </c>
      <c r="F646" s="134">
        <v>174465.73</v>
      </c>
      <c r="G646" s="153"/>
    </row>
    <row r="647" spans="1:7" s="119" customFormat="1" ht="38.25">
      <c r="A647" s="24" t="s">
        <v>583</v>
      </c>
      <c r="B647" s="61" t="s">
        <v>890</v>
      </c>
      <c r="C647" s="61" t="s">
        <v>890</v>
      </c>
      <c r="D647" s="71">
        <f>F647/1000</f>
        <v>143.49807</v>
      </c>
      <c r="E647" s="35" t="s">
        <v>889</v>
      </c>
      <c r="F647" s="134">
        <v>143498.07</v>
      </c>
      <c r="G647" s="153"/>
    </row>
    <row r="648" spans="1:7" s="119" customFormat="1" ht="25.5">
      <c r="A648" s="24" t="s">
        <v>583</v>
      </c>
      <c r="B648" s="61" t="s">
        <v>888</v>
      </c>
      <c r="C648" s="61" t="s">
        <v>888</v>
      </c>
      <c r="D648" s="71">
        <f>F648/1000</f>
        <v>45.24186</v>
      </c>
      <c r="E648" s="35" t="s">
        <v>884</v>
      </c>
      <c r="F648" s="134">
        <v>45241.86</v>
      </c>
      <c r="G648" s="153"/>
    </row>
    <row r="649" spans="1:7" s="119" customFormat="1" ht="25.5">
      <c r="A649" s="24" t="s">
        <v>583</v>
      </c>
      <c r="B649" s="61" t="s">
        <v>887</v>
      </c>
      <c r="C649" s="61" t="s">
        <v>887</v>
      </c>
      <c r="D649" s="71">
        <f>F649/1000</f>
        <v>137.88071</v>
      </c>
      <c r="E649" s="35" t="s">
        <v>884</v>
      </c>
      <c r="F649" s="134">
        <v>137880.71</v>
      </c>
      <c r="G649" s="153"/>
    </row>
    <row r="650" spans="1:7" s="119" customFormat="1" ht="25.5">
      <c r="A650" s="24" t="s">
        <v>583</v>
      </c>
      <c r="B650" s="61" t="s">
        <v>886</v>
      </c>
      <c r="C650" s="61" t="s">
        <v>886</v>
      </c>
      <c r="D650" s="71">
        <f>F650/1000</f>
        <v>38.766949999999994</v>
      </c>
      <c r="E650" s="35" t="s">
        <v>884</v>
      </c>
      <c r="F650" s="134">
        <v>38766.95</v>
      </c>
      <c r="G650" s="153"/>
    </row>
    <row r="651" spans="1:7" s="119" customFormat="1" ht="25.5">
      <c r="A651" s="24" t="s">
        <v>583</v>
      </c>
      <c r="B651" s="61" t="s">
        <v>885</v>
      </c>
      <c r="C651" s="61" t="s">
        <v>885</v>
      </c>
      <c r="D651" s="71">
        <f>F651/1000</f>
        <v>29.10132</v>
      </c>
      <c r="E651" s="35" t="s">
        <v>884</v>
      </c>
      <c r="F651" s="134">
        <v>29101.32</v>
      </c>
      <c r="G651" s="153"/>
    </row>
    <row r="652" spans="1:7" s="119" customFormat="1" ht="25.5">
      <c r="A652" s="24" t="s">
        <v>583</v>
      </c>
      <c r="B652" s="61" t="s">
        <v>883</v>
      </c>
      <c r="C652" s="61" t="s">
        <v>883</v>
      </c>
      <c r="D652" s="71">
        <f>F652/1000</f>
        <v>199.953</v>
      </c>
      <c r="E652" s="35" t="s">
        <v>876</v>
      </c>
      <c r="F652" s="134">
        <v>199953</v>
      </c>
      <c r="G652" s="153"/>
    </row>
    <row r="653" spans="1:7" s="119" customFormat="1" ht="25.5">
      <c r="A653" s="24" t="s">
        <v>583</v>
      </c>
      <c r="B653" s="61" t="s">
        <v>882</v>
      </c>
      <c r="C653" s="61" t="s">
        <v>882</v>
      </c>
      <c r="D653" s="71">
        <f>F653/1000</f>
        <v>40.281</v>
      </c>
      <c r="E653" s="35" t="s">
        <v>876</v>
      </c>
      <c r="F653" s="134">
        <v>40281</v>
      </c>
      <c r="G653" s="153"/>
    </row>
    <row r="654" spans="1:7" s="119" customFormat="1" ht="25.5">
      <c r="A654" s="24" t="s">
        <v>583</v>
      </c>
      <c r="B654" s="61" t="s">
        <v>881</v>
      </c>
      <c r="C654" s="61" t="s">
        <v>881</v>
      </c>
      <c r="D654" s="71">
        <f>F654/1000</f>
        <v>196.117</v>
      </c>
      <c r="E654" s="35" t="s">
        <v>876</v>
      </c>
      <c r="F654" s="134">
        <v>196117</v>
      </c>
      <c r="G654" s="153"/>
    </row>
    <row r="655" spans="1:7" s="119" customFormat="1" ht="25.5">
      <c r="A655" s="24" t="s">
        <v>583</v>
      </c>
      <c r="B655" s="61" t="s">
        <v>880</v>
      </c>
      <c r="C655" s="61" t="s">
        <v>880</v>
      </c>
      <c r="D655" s="71">
        <f>F655/1000</f>
        <v>9.147</v>
      </c>
      <c r="E655" s="35" t="s">
        <v>876</v>
      </c>
      <c r="F655" s="134">
        <v>9147</v>
      </c>
      <c r="G655" s="153"/>
    </row>
    <row r="656" spans="1:7" s="119" customFormat="1" ht="25.5">
      <c r="A656" s="24" t="s">
        <v>583</v>
      </c>
      <c r="B656" s="61" t="s">
        <v>879</v>
      </c>
      <c r="C656" s="61" t="s">
        <v>879</v>
      </c>
      <c r="D656" s="71">
        <f>F656/1000</f>
        <v>69.761</v>
      </c>
      <c r="E656" s="35" t="s">
        <v>876</v>
      </c>
      <c r="F656" s="134">
        <v>69761</v>
      </c>
      <c r="G656" s="153"/>
    </row>
    <row r="657" spans="1:7" s="119" customFormat="1" ht="25.5">
      <c r="A657" s="24" t="s">
        <v>583</v>
      </c>
      <c r="B657" s="61" t="s">
        <v>878</v>
      </c>
      <c r="C657" s="61" t="s">
        <v>878</v>
      </c>
      <c r="D657" s="71">
        <f>F657/1000</f>
        <v>48.782</v>
      </c>
      <c r="E657" s="35" t="s">
        <v>876</v>
      </c>
      <c r="F657" s="134">
        <v>48782</v>
      </c>
      <c r="G657" s="153"/>
    </row>
    <row r="658" spans="1:7" s="119" customFormat="1" ht="25.5">
      <c r="A658" s="24" t="s">
        <v>583</v>
      </c>
      <c r="B658" s="61" t="s">
        <v>877</v>
      </c>
      <c r="C658" s="61" t="s">
        <v>877</v>
      </c>
      <c r="D658" s="71">
        <f>F658/1000</f>
        <v>5.404</v>
      </c>
      <c r="E658" s="35" t="s">
        <v>876</v>
      </c>
      <c r="F658" s="134">
        <v>5404</v>
      </c>
      <c r="G658" s="153"/>
    </row>
    <row r="659" spans="1:7" s="119" customFormat="1" ht="25.5">
      <c r="A659" s="24" t="s">
        <v>583</v>
      </c>
      <c r="B659" s="61" t="s">
        <v>875</v>
      </c>
      <c r="C659" s="61" t="s">
        <v>875</v>
      </c>
      <c r="D659" s="71">
        <f>F659/1000</f>
        <v>197.118</v>
      </c>
      <c r="E659" s="35" t="s">
        <v>874</v>
      </c>
      <c r="F659" s="134">
        <v>197118</v>
      </c>
      <c r="G659" s="153"/>
    </row>
    <row r="660" spans="1:7" s="119" customFormat="1" ht="25.5">
      <c r="A660" s="24" t="s">
        <v>583</v>
      </c>
      <c r="B660" s="61" t="s">
        <v>873</v>
      </c>
      <c r="C660" s="61" t="s">
        <v>873</v>
      </c>
      <c r="D660" s="71">
        <f>F660/1000</f>
        <v>40.444849999999995</v>
      </c>
      <c r="E660" s="35" t="s">
        <v>863</v>
      </c>
      <c r="F660" s="134">
        <v>40444.85</v>
      </c>
      <c r="G660" s="153"/>
    </row>
    <row r="661" spans="1:7" s="119" customFormat="1" ht="25.5">
      <c r="A661" s="24" t="s">
        <v>583</v>
      </c>
      <c r="B661" s="61" t="s">
        <v>872</v>
      </c>
      <c r="C661" s="61" t="s">
        <v>872</v>
      </c>
      <c r="D661" s="71">
        <f>F661/1000</f>
        <v>17.57171</v>
      </c>
      <c r="E661" s="35" t="s">
        <v>863</v>
      </c>
      <c r="F661" s="134">
        <v>17571.71</v>
      </c>
      <c r="G661" s="153"/>
    </row>
    <row r="662" spans="1:7" s="119" customFormat="1" ht="25.5">
      <c r="A662" s="24" t="s">
        <v>583</v>
      </c>
      <c r="B662" s="61" t="s">
        <v>871</v>
      </c>
      <c r="C662" s="61" t="s">
        <v>871</v>
      </c>
      <c r="D662" s="71">
        <f>F662/1000</f>
        <v>27.11563</v>
      </c>
      <c r="E662" s="35" t="s">
        <v>863</v>
      </c>
      <c r="F662" s="134">
        <v>27115.63</v>
      </c>
      <c r="G662" s="153"/>
    </row>
    <row r="663" spans="1:7" s="119" customFormat="1" ht="25.5">
      <c r="A663" s="24" t="s">
        <v>583</v>
      </c>
      <c r="B663" s="61" t="s">
        <v>870</v>
      </c>
      <c r="C663" s="61" t="s">
        <v>870</v>
      </c>
      <c r="D663" s="71">
        <f>F663/1000</f>
        <v>32.82815</v>
      </c>
      <c r="E663" s="35" t="s">
        <v>863</v>
      </c>
      <c r="F663" s="134">
        <v>32828.15</v>
      </c>
      <c r="G663" s="153"/>
    </row>
    <row r="664" spans="1:7" s="119" customFormat="1" ht="25.5">
      <c r="A664" s="24" t="s">
        <v>583</v>
      </c>
      <c r="B664" s="61" t="s">
        <v>869</v>
      </c>
      <c r="C664" s="61" t="s">
        <v>869</v>
      </c>
      <c r="D664" s="71">
        <f>F664/1000</f>
        <v>20.03653</v>
      </c>
      <c r="E664" s="35" t="s">
        <v>863</v>
      </c>
      <c r="F664" s="134">
        <v>20036.53</v>
      </c>
      <c r="G664" s="153"/>
    </row>
    <row r="665" spans="1:7" s="119" customFormat="1" ht="25.5">
      <c r="A665" s="24" t="s">
        <v>583</v>
      </c>
      <c r="B665" s="61" t="s">
        <v>868</v>
      </c>
      <c r="C665" s="61" t="s">
        <v>868</v>
      </c>
      <c r="D665" s="71">
        <f>F665/1000</f>
        <v>50.04878</v>
      </c>
      <c r="E665" s="35" t="s">
        <v>863</v>
      </c>
      <c r="F665" s="134">
        <v>50048.78</v>
      </c>
      <c r="G665" s="153"/>
    </row>
    <row r="666" spans="1:7" s="119" customFormat="1" ht="25.5">
      <c r="A666" s="24" t="s">
        <v>583</v>
      </c>
      <c r="B666" s="61" t="s">
        <v>867</v>
      </c>
      <c r="C666" s="61" t="s">
        <v>867</v>
      </c>
      <c r="D666" s="71">
        <f>F666/1000</f>
        <v>19.134259999999998</v>
      </c>
      <c r="E666" s="35" t="s">
        <v>863</v>
      </c>
      <c r="F666" s="134">
        <v>19134.26</v>
      </c>
      <c r="G666" s="153"/>
    </row>
    <row r="667" spans="1:7" s="119" customFormat="1" ht="25.5">
      <c r="A667" s="24" t="s">
        <v>583</v>
      </c>
      <c r="B667" s="61" t="s">
        <v>866</v>
      </c>
      <c r="C667" s="61" t="s">
        <v>866</v>
      </c>
      <c r="D667" s="71">
        <f>F667/1000</f>
        <v>20.26294</v>
      </c>
      <c r="E667" s="35" t="s">
        <v>863</v>
      </c>
      <c r="F667" s="134">
        <v>20262.94</v>
      </c>
      <c r="G667" s="153"/>
    </row>
    <row r="668" spans="1:7" s="119" customFormat="1" ht="25.5">
      <c r="A668" s="24" t="s">
        <v>583</v>
      </c>
      <c r="B668" s="61" t="s">
        <v>865</v>
      </c>
      <c r="C668" s="61" t="s">
        <v>865</v>
      </c>
      <c r="D668" s="71">
        <f>F668/1000</f>
        <v>45.89265</v>
      </c>
      <c r="E668" s="35" t="s">
        <v>863</v>
      </c>
      <c r="F668" s="134">
        <v>45892.65</v>
      </c>
      <c r="G668" s="153"/>
    </row>
    <row r="669" spans="1:7" s="119" customFormat="1" ht="25.5">
      <c r="A669" s="24" t="s">
        <v>583</v>
      </c>
      <c r="B669" s="61" t="s">
        <v>864</v>
      </c>
      <c r="C669" s="61" t="s">
        <v>864</v>
      </c>
      <c r="D669" s="71">
        <f>F669/1000</f>
        <v>39.49593</v>
      </c>
      <c r="E669" s="35" t="s">
        <v>863</v>
      </c>
      <c r="F669" s="134">
        <v>39495.93</v>
      </c>
      <c r="G669" s="153"/>
    </row>
    <row r="670" spans="1:7" s="119" customFormat="1" ht="25.5">
      <c r="A670" s="24" t="s">
        <v>583</v>
      </c>
      <c r="B670" s="61" t="s">
        <v>862</v>
      </c>
      <c r="C670" s="61" t="s">
        <v>862</v>
      </c>
      <c r="D670" s="71">
        <f>F670/1000</f>
        <v>53.05644</v>
      </c>
      <c r="E670" s="35" t="s">
        <v>855</v>
      </c>
      <c r="F670" s="134">
        <v>53056.44</v>
      </c>
      <c r="G670" s="153"/>
    </row>
    <row r="671" spans="1:7" s="119" customFormat="1" ht="25.5">
      <c r="A671" s="24" t="s">
        <v>583</v>
      </c>
      <c r="B671" s="61" t="s">
        <v>861</v>
      </c>
      <c r="C671" s="61" t="s">
        <v>861</v>
      </c>
      <c r="D671" s="71">
        <f>F671/1000</f>
        <v>45.305279999999996</v>
      </c>
      <c r="E671" s="35" t="s">
        <v>855</v>
      </c>
      <c r="F671" s="134">
        <v>45305.28</v>
      </c>
      <c r="G671" s="153"/>
    </row>
    <row r="672" spans="1:7" s="119" customFormat="1" ht="25.5">
      <c r="A672" s="24" t="s">
        <v>583</v>
      </c>
      <c r="B672" s="61" t="s">
        <v>860</v>
      </c>
      <c r="C672" s="61" t="s">
        <v>860</v>
      </c>
      <c r="D672" s="71">
        <f>F672/1000</f>
        <v>25.94361</v>
      </c>
      <c r="E672" s="35" t="s">
        <v>855</v>
      </c>
      <c r="F672" s="134">
        <v>25943.61</v>
      </c>
      <c r="G672" s="153"/>
    </row>
    <row r="673" spans="1:7" s="119" customFormat="1" ht="25.5">
      <c r="A673" s="24" t="s">
        <v>583</v>
      </c>
      <c r="B673" s="61" t="s">
        <v>859</v>
      </c>
      <c r="C673" s="61" t="s">
        <v>859</v>
      </c>
      <c r="D673" s="71">
        <f>F673/1000</f>
        <v>67.55389</v>
      </c>
      <c r="E673" s="35" t="s">
        <v>855</v>
      </c>
      <c r="F673" s="134">
        <v>67553.89</v>
      </c>
      <c r="G673" s="153"/>
    </row>
    <row r="674" spans="1:7" s="119" customFormat="1" ht="25.5">
      <c r="A674" s="24" t="s">
        <v>583</v>
      </c>
      <c r="B674" s="61" t="s">
        <v>858</v>
      </c>
      <c r="C674" s="61" t="s">
        <v>858</v>
      </c>
      <c r="D674" s="71">
        <f>F674/1000</f>
        <v>4.85234</v>
      </c>
      <c r="E674" s="35" t="s">
        <v>855</v>
      </c>
      <c r="F674" s="134">
        <v>4852.34</v>
      </c>
      <c r="G674" s="153"/>
    </row>
    <row r="675" spans="1:7" s="119" customFormat="1" ht="25.5">
      <c r="A675" s="24" t="s">
        <v>583</v>
      </c>
      <c r="B675" s="61" t="s">
        <v>857</v>
      </c>
      <c r="C675" s="61" t="s">
        <v>857</v>
      </c>
      <c r="D675" s="71">
        <f>F675/1000</f>
        <v>25.65035</v>
      </c>
      <c r="E675" s="35" t="s">
        <v>855</v>
      </c>
      <c r="F675" s="134">
        <v>25650.35</v>
      </c>
      <c r="G675" s="153"/>
    </row>
    <row r="676" spans="1:7" s="119" customFormat="1" ht="25.5">
      <c r="A676" s="24" t="s">
        <v>583</v>
      </c>
      <c r="B676" s="61" t="s">
        <v>856</v>
      </c>
      <c r="C676" s="61" t="s">
        <v>856</v>
      </c>
      <c r="D676" s="71">
        <f>F676/1000</f>
        <v>69.37092</v>
      </c>
      <c r="E676" s="35" t="s">
        <v>855</v>
      </c>
      <c r="F676" s="134">
        <v>69370.92</v>
      </c>
      <c r="G676" s="153"/>
    </row>
    <row r="677" spans="1:7" s="119" customFormat="1" ht="25.5">
      <c r="A677" s="24" t="s">
        <v>583</v>
      </c>
      <c r="B677" s="61" t="s">
        <v>850</v>
      </c>
      <c r="C677" s="61" t="s">
        <v>850</v>
      </c>
      <c r="D677" s="71">
        <f>F677/1000</f>
        <v>18.646549999999998</v>
      </c>
      <c r="E677" s="35" t="s">
        <v>849</v>
      </c>
      <c r="F677" s="134">
        <v>18646.55</v>
      </c>
      <c r="G677" s="153"/>
    </row>
    <row r="678" spans="1:7" s="119" customFormat="1" ht="25.5">
      <c r="A678" s="24" t="s">
        <v>583</v>
      </c>
      <c r="B678" s="61" t="s">
        <v>854</v>
      </c>
      <c r="C678" s="61" t="s">
        <v>854</v>
      </c>
      <c r="D678" s="71">
        <f>F678/1000</f>
        <v>36.479459999999996</v>
      </c>
      <c r="E678" s="35" t="s">
        <v>849</v>
      </c>
      <c r="F678" s="134">
        <v>36479.46</v>
      </c>
      <c r="G678" s="153"/>
    </row>
    <row r="679" spans="1:7" s="119" customFormat="1" ht="25.5">
      <c r="A679" s="24" t="s">
        <v>583</v>
      </c>
      <c r="B679" s="61" t="s">
        <v>853</v>
      </c>
      <c r="C679" s="61" t="s">
        <v>853</v>
      </c>
      <c r="D679" s="71">
        <f>F679/1000</f>
        <v>19.22223</v>
      </c>
      <c r="E679" s="35" t="s">
        <v>849</v>
      </c>
      <c r="F679" s="134">
        <v>19222.23</v>
      </c>
      <c r="G679" s="153"/>
    </row>
    <row r="680" spans="1:7" s="119" customFormat="1" ht="25.5">
      <c r="A680" s="24" t="s">
        <v>583</v>
      </c>
      <c r="B680" s="61" t="s">
        <v>852</v>
      </c>
      <c r="C680" s="61" t="s">
        <v>852</v>
      </c>
      <c r="D680" s="71">
        <f>F680/1000</f>
        <v>40.85517</v>
      </c>
      <c r="E680" s="35" t="s">
        <v>849</v>
      </c>
      <c r="F680" s="134">
        <v>40855.17</v>
      </c>
      <c r="G680" s="153"/>
    </row>
    <row r="681" spans="1:7" s="119" customFormat="1" ht="25.5">
      <c r="A681" s="24" t="s">
        <v>583</v>
      </c>
      <c r="B681" s="61" t="s">
        <v>851</v>
      </c>
      <c r="C681" s="61" t="s">
        <v>851</v>
      </c>
      <c r="D681" s="71">
        <f>F681/1000</f>
        <v>72.66556</v>
      </c>
      <c r="E681" s="35" t="s">
        <v>849</v>
      </c>
      <c r="F681" s="134">
        <v>72665.56</v>
      </c>
      <c r="G681" s="153"/>
    </row>
    <row r="682" spans="1:7" s="119" customFormat="1" ht="25.5">
      <c r="A682" s="24" t="s">
        <v>583</v>
      </c>
      <c r="B682" s="61" t="s">
        <v>850</v>
      </c>
      <c r="C682" s="61" t="s">
        <v>850</v>
      </c>
      <c r="D682" s="71">
        <f>F682/1000</f>
        <v>40.85517</v>
      </c>
      <c r="E682" s="35" t="s">
        <v>849</v>
      </c>
      <c r="F682" s="134">
        <v>40855.17</v>
      </c>
      <c r="G682" s="153"/>
    </row>
    <row r="683" spans="1:7" s="119" customFormat="1" ht="38.25">
      <c r="A683" s="24" t="s">
        <v>583</v>
      </c>
      <c r="B683" s="61" t="s">
        <v>848</v>
      </c>
      <c r="C683" s="61" t="s">
        <v>848</v>
      </c>
      <c r="D683" s="71">
        <f>F683/1000</f>
        <v>91.611</v>
      </c>
      <c r="E683" s="35" t="s">
        <v>846</v>
      </c>
      <c r="F683" s="134">
        <v>91611</v>
      </c>
      <c r="G683" s="153"/>
    </row>
    <row r="684" spans="1:7" s="119" customFormat="1" ht="25.5">
      <c r="A684" s="24" t="s">
        <v>583</v>
      </c>
      <c r="B684" s="61" t="s">
        <v>847</v>
      </c>
      <c r="C684" s="61" t="s">
        <v>847</v>
      </c>
      <c r="D684" s="71">
        <f>F684/1000</f>
        <v>85.114</v>
      </c>
      <c r="E684" s="35" t="s">
        <v>846</v>
      </c>
      <c r="F684" s="134">
        <v>85114</v>
      </c>
      <c r="G684" s="153"/>
    </row>
    <row r="685" spans="1:7" s="119" customFormat="1" ht="25.5">
      <c r="A685" s="24" t="s">
        <v>583</v>
      </c>
      <c r="B685" s="61" t="s">
        <v>845</v>
      </c>
      <c r="C685" s="61" t="s">
        <v>845</v>
      </c>
      <c r="D685" s="71">
        <f>F685/1000</f>
        <v>95.32438</v>
      </c>
      <c r="E685" s="35" t="s">
        <v>843</v>
      </c>
      <c r="F685" s="134">
        <v>95324.38</v>
      </c>
      <c r="G685" s="153"/>
    </row>
    <row r="686" spans="1:7" s="119" customFormat="1" ht="25.5">
      <c r="A686" s="24" t="s">
        <v>583</v>
      </c>
      <c r="B686" s="61" t="s">
        <v>844</v>
      </c>
      <c r="C686" s="61" t="s">
        <v>844</v>
      </c>
      <c r="D686" s="71">
        <f>F686/1000</f>
        <v>26.02009</v>
      </c>
      <c r="E686" s="35" t="s">
        <v>843</v>
      </c>
      <c r="F686" s="134">
        <v>26020.09</v>
      </c>
      <c r="G686" s="153"/>
    </row>
    <row r="687" spans="1:7" s="119" customFormat="1" ht="25.5">
      <c r="A687" s="24" t="s">
        <v>583</v>
      </c>
      <c r="B687" s="61" t="s">
        <v>842</v>
      </c>
      <c r="C687" s="35" t="s">
        <v>842</v>
      </c>
      <c r="D687" s="71">
        <f>F687/1000</f>
        <v>47.08465</v>
      </c>
      <c r="E687" s="35" t="s">
        <v>841</v>
      </c>
      <c r="F687" s="134">
        <v>47084.65</v>
      </c>
      <c r="G687" s="153"/>
    </row>
    <row r="688" spans="1:7" s="119" customFormat="1" ht="25.5">
      <c r="A688" s="61" t="s">
        <v>583</v>
      </c>
      <c r="B688" s="56" t="s">
        <v>840</v>
      </c>
      <c r="C688" s="56" t="s">
        <v>840</v>
      </c>
      <c r="D688" s="155">
        <f>97133/1000</f>
        <v>97.133</v>
      </c>
      <c r="E688" s="56" t="s">
        <v>839</v>
      </c>
      <c r="F688" s="154"/>
      <c r="G688" s="153"/>
    </row>
    <row r="689" spans="1:7" s="151" customFormat="1" ht="12.75">
      <c r="A689" s="148" t="s">
        <v>559</v>
      </c>
      <c r="B689" s="29"/>
      <c r="C689" s="29"/>
      <c r="D689" s="5">
        <f>SUM(D293:D688)</f>
        <v>26105.406689999993</v>
      </c>
      <c r="E689" s="29"/>
      <c r="F689" s="134"/>
      <c r="G689" s="152"/>
    </row>
    <row r="690" spans="1:7" s="145" customFormat="1" ht="12.75">
      <c r="A690" s="150"/>
      <c r="B690" s="148"/>
      <c r="C690" s="148"/>
      <c r="D690" s="149"/>
      <c r="E690" s="148"/>
      <c r="F690" s="147"/>
      <c r="G690" s="146"/>
    </row>
    <row r="691" spans="1:6" s="119" customFormat="1" ht="12.75">
      <c r="A691" s="35"/>
      <c r="B691" s="144">
        <v>1216020</v>
      </c>
      <c r="C691" s="35"/>
      <c r="D691" s="126"/>
      <c r="E691" s="35"/>
      <c r="F691" s="134"/>
    </row>
    <row r="692" spans="1:6" s="119" customFormat="1" ht="25.5">
      <c r="A692" s="24" t="s">
        <v>583</v>
      </c>
      <c r="B692" s="24" t="s">
        <v>583</v>
      </c>
      <c r="C692" s="35" t="s">
        <v>838</v>
      </c>
      <c r="D692" s="142">
        <v>39803.787</v>
      </c>
      <c r="E692" s="51" t="s">
        <v>68</v>
      </c>
      <c r="F692" s="134"/>
    </row>
    <row r="693" spans="1:6" s="119" customFormat="1" ht="25.5">
      <c r="A693" s="24" t="s">
        <v>583</v>
      </c>
      <c r="B693" s="143" t="s">
        <v>837</v>
      </c>
      <c r="C693" s="35" t="s">
        <v>310</v>
      </c>
      <c r="D693" s="142">
        <v>110.562</v>
      </c>
      <c r="E693" s="51" t="s">
        <v>68</v>
      </c>
      <c r="F693" s="134"/>
    </row>
    <row r="694" spans="1:6" s="119" customFormat="1" ht="25.5">
      <c r="A694" s="24" t="s">
        <v>583</v>
      </c>
      <c r="B694" s="143" t="s">
        <v>836</v>
      </c>
      <c r="C694" s="35" t="s">
        <v>310</v>
      </c>
      <c r="D694" s="142">
        <v>51.665</v>
      </c>
      <c r="E694" s="51" t="s">
        <v>68</v>
      </c>
      <c r="F694" s="134"/>
    </row>
    <row r="695" spans="1:6" s="119" customFormat="1" ht="25.5">
      <c r="A695" s="24" t="s">
        <v>583</v>
      </c>
      <c r="B695" s="143" t="s">
        <v>835</v>
      </c>
      <c r="C695" s="35" t="s">
        <v>310</v>
      </c>
      <c r="D695" s="142">
        <v>115.622</v>
      </c>
      <c r="E695" s="51" t="s">
        <v>68</v>
      </c>
      <c r="F695" s="134"/>
    </row>
    <row r="696" spans="1:6" s="119" customFormat="1" ht="25.5">
      <c r="A696" s="24" t="s">
        <v>583</v>
      </c>
      <c r="B696" s="143" t="s">
        <v>834</v>
      </c>
      <c r="C696" s="35" t="s">
        <v>310</v>
      </c>
      <c r="D696" s="142">
        <v>88.564</v>
      </c>
      <c r="E696" s="51" t="s">
        <v>68</v>
      </c>
      <c r="F696" s="134"/>
    </row>
    <row r="697" spans="1:6" s="119" customFormat="1" ht="25.5">
      <c r="A697" s="24" t="s">
        <v>583</v>
      </c>
      <c r="B697" s="143" t="s">
        <v>833</v>
      </c>
      <c r="C697" s="35" t="s">
        <v>310</v>
      </c>
      <c r="D697" s="142">
        <v>114.822</v>
      </c>
      <c r="E697" s="51" t="s">
        <v>68</v>
      </c>
      <c r="F697" s="134"/>
    </row>
    <row r="698" spans="1:6" s="119" customFormat="1" ht="25.5">
      <c r="A698" s="24" t="s">
        <v>583</v>
      </c>
      <c r="B698" s="143" t="s">
        <v>832</v>
      </c>
      <c r="C698" s="35" t="s">
        <v>310</v>
      </c>
      <c r="D698" s="142">
        <v>160.176</v>
      </c>
      <c r="E698" s="51" t="s">
        <v>68</v>
      </c>
      <c r="F698" s="134"/>
    </row>
    <row r="699" spans="1:6" s="119" customFormat="1" ht="25.5">
      <c r="A699" s="24" t="s">
        <v>583</v>
      </c>
      <c r="B699" s="143" t="s">
        <v>831</v>
      </c>
      <c r="C699" s="35" t="s">
        <v>310</v>
      </c>
      <c r="D699" s="142">
        <v>7.824</v>
      </c>
      <c r="E699" s="51" t="s">
        <v>68</v>
      </c>
      <c r="F699" s="134"/>
    </row>
    <row r="700" spans="1:6" s="119" customFormat="1" ht="25.5">
      <c r="A700" s="24" t="s">
        <v>583</v>
      </c>
      <c r="B700" s="143" t="s">
        <v>830</v>
      </c>
      <c r="C700" s="35" t="s">
        <v>310</v>
      </c>
      <c r="D700" s="142">
        <v>30.923</v>
      </c>
      <c r="E700" s="51" t="s">
        <v>68</v>
      </c>
      <c r="F700" s="134"/>
    </row>
    <row r="701" spans="1:6" s="119" customFormat="1" ht="25.5">
      <c r="A701" s="24" t="s">
        <v>583</v>
      </c>
      <c r="B701" s="143" t="s">
        <v>829</v>
      </c>
      <c r="C701" s="35" t="s">
        <v>310</v>
      </c>
      <c r="D701" s="142">
        <v>56.568</v>
      </c>
      <c r="E701" s="51" t="s">
        <v>68</v>
      </c>
      <c r="F701" s="134"/>
    </row>
    <row r="702" spans="1:6" s="119" customFormat="1" ht="25.5">
      <c r="A702" s="24" t="s">
        <v>583</v>
      </c>
      <c r="B702" s="143" t="s">
        <v>828</v>
      </c>
      <c r="C702" s="35" t="s">
        <v>310</v>
      </c>
      <c r="D702" s="142">
        <v>140.671</v>
      </c>
      <c r="E702" s="51" t="s">
        <v>68</v>
      </c>
      <c r="F702" s="134"/>
    </row>
    <row r="703" spans="1:6" s="119" customFormat="1" ht="25.5">
      <c r="A703" s="24" t="s">
        <v>208</v>
      </c>
      <c r="B703" s="141" t="s">
        <v>560</v>
      </c>
      <c r="C703" s="24" t="s">
        <v>560</v>
      </c>
      <c r="D703" s="140">
        <v>8.949</v>
      </c>
      <c r="E703" s="139"/>
      <c r="F703" s="134"/>
    </row>
    <row r="704" spans="1:6" s="119" customFormat="1" ht="12.75">
      <c r="A704" s="125" t="s">
        <v>559</v>
      </c>
      <c r="B704" s="125"/>
      <c r="C704" s="125"/>
      <c r="D704" s="138">
        <f>SUM(D692:D703)</f>
        <v>40690.133</v>
      </c>
      <c r="E704" s="35"/>
      <c r="F704" s="134"/>
    </row>
    <row r="705" spans="1:6" s="119" customFormat="1" ht="12.75">
      <c r="A705" s="56"/>
      <c r="B705" s="137">
        <v>1216030</v>
      </c>
      <c r="C705" s="56"/>
      <c r="D705" s="72"/>
      <c r="E705" s="56"/>
      <c r="F705" s="134"/>
    </row>
    <row r="706" spans="1:6" s="119" customFormat="1" ht="89.25">
      <c r="A706" s="24" t="s">
        <v>722</v>
      </c>
      <c r="B706" s="35" t="s">
        <v>827</v>
      </c>
      <c r="C706" s="24" t="s">
        <v>688</v>
      </c>
      <c r="D706" s="71">
        <v>1300.532</v>
      </c>
      <c r="E706" s="35" t="s">
        <v>826</v>
      </c>
      <c r="F706" s="134"/>
    </row>
    <row r="707" spans="1:6" s="119" customFormat="1" ht="25.5">
      <c r="A707" s="24" t="s">
        <v>722</v>
      </c>
      <c r="B707" s="35" t="s">
        <v>825</v>
      </c>
      <c r="C707" s="133" t="s">
        <v>787</v>
      </c>
      <c r="D707" s="71">
        <v>86.199</v>
      </c>
      <c r="E707" s="133" t="s">
        <v>817</v>
      </c>
      <c r="F707" s="134"/>
    </row>
    <row r="708" spans="1:6" s="119" customFormat="1" ht="25.5">
      <c r="A708" s="24" t="s">
        <v>722</v>
      </c>
      <c r="B708" s="35" t="s">
        <v>824</v>
      </c>
      <c r="C708" s="133" t="s">
        <v>823</v>
      </c>
      <c r="D708" s="71">
        <v>81.382</v>
      </c>
      <c r="E708" s="133" t="s">
        <v>817</v>
      </c>
      <c r="F708" s="134"/>
    </row>
    <row r="709" spans="1:6" s="119" customFormat="1" ht="25.5">
      <c r="A709" s="24" t="s">
        <v>722</v>
      </c>
      <c r="B709" s="35" t="s">
        <v>822</v>
      </c>
      <c r="C709" s="133" t="s">
        <v>787</v>
      </c>
      <c r="D709" s="71">
        <v>173.415</v>
      </c>
      <c r="E709" s="133" t="s">
        <v>817</v>
      </c>
      <c r="F709" s="134"/>
    </row>
    <row r="710" spans="1:6" s="119" customFormat="1" ht="25.5">
      <c r="A710" s="24" t="s">
        <v>722</v>
      </c>
      <c r="B710" s="35" t="s">
        <v>821</v>
      </c>
      <c r="C710" s="24" t="s">
        <v>820</v>
      </c>
      <c r="D710" s="71">
        <v>190.876</v>
      </c>
      <c r="E710" s="133" t="s">
        <v>817</v>
      </c>
      <c r="F710" s="134"/>
    </row>
    <row r="711" spans="1:6" s="119" customFormat="1" ht="76.5">
      <c r="A711" s="24" t="s">
        <v>722</v>
      </c>
      <c r="B711" s="133" t="s">
        <v>819</v>
      </c>
      <c r="C711" s="133" t="s">
        <v>818</v>
      </c>
      <c r="D711" s="135">
        <v>199.914</v>
      </c>
      <c r="E711" s="133" t="s">
        <v>817</v>
      </c>
      <c r="F711" s="134"/>
    </row>
    <row r="712" spans="1:6" s="119" customFormat="1" ht="12.75">
      <c r="A712" s="24" t="s">
        <v>722</v>
      </c>
      <c r="B712" s="133" t="s">
        <v>816</v>
      </c>
      <c r="C712" s="133" t="s">
        <v>44</v>
      </c>
      <c r="D712" s="135">
        <v>196.129</v>
      </c>
      <c r="E712" s="133" t="s">
        <v>805</v>
      </c>
      <c r="F712" s="134"/>
    </row>
    <row r="713" spans="1:6" s="119" customFormat="1" ht="12.75">
      <c r="A713" s="24" t="s">
        <v>722</v>
      </c>
      <c r="B713" s="133" t="s">
        <v>815</v>
      </c>
      <c r="C713" s="133" t="s">
        <v>44</v>
      </c>
      <c r="D713" s="135">
        <v>112.083</v>
      </c>
      <c r="E713" s="133" t="s">
        <v>805</v>
      </c>
      <c r="F713" s="134"/>
    </row>
    <row r="714" spans="1:6" s="119" customFormat="1" ht="25.5">
      <c r="A714" s="24" t="s">
        <v>722</v>
      </c>
      <c r="B714" s="133" t="s">
        <v>814</v>
      </c>
      <c r="C714" s="133" t="s">
        <v>44</v>
      </c>
      <c r="D714" s="135">
        <v>196.234</v>
      </c>
      <c r="E714" s="133" t="s">
        <v>805</v>
      </c>
      <c r="F714" s="134"/>
    </row>
    <row r="715" spans="1:6" s="119" customFormat="1" ht="12.75">
      <c r="A715" s="24" t="s">
        <v>722</v>
      </c>
      <c r="B715" s="133" t="s">
        <v>813</v>
      </c>
      <c r="C715" s="133" t="s">
        <v>44</v>
      </c>
      <c r="D715" s="135">
        <v>159.614</v>
      </c>
      <c r="E715" s="133" t="s">
        <v>805</v>
      </c>
      <c r="F715" s="134"/>
    </row>
    <row r="716" spans="1:6" s="119" customFormat="1" ht="12.75">
      <c r="A716" s="24" t="s">
        <v>722</v>
      </c>
      <c r="B716" s="133" t="s">
        <v>812</v>
      </c>
      <c r="C716" s="133" t="s">
        <v>44</v>
      </c>
      <c r="D716" s="135">
        <v>4.955</v>
      </c>
      <c r="E716" s="133" t="s">
        <v>805</v>
      </c>
      <c r="F716" s="134"/>
    </row>
    <row r="717" spans="1:6" s="119" customFormat="1" ht="102">
      <c r="A717" s="24" t="s">
        <v>722</v>
      </c>
      <c r="B717" s="133" t="s">
        <v>811</v>
      </c>
      <c r="C717" s="133" t="s">
        <v>810</v>
      </c>
      <c r="D717" s="135">
        <v>181.274</v>
      </c>
      <c r="E717" s="133" t="s">
        <v>805</v>
      </c>
      <c r="F717" s="134"/>
    </row>
    <row r="718" spans="1:6" s="119" customFormat="1" ht="102">
      <c r="A718" s="24" t="s">
        <v>722</v>
      </c>
      <c r="B718" s="133" t="s">
        <v>809</v>
      </c>
      <c r="C718" s="133" t="s">
        <v>808</v>
      </c>
      <c r="D718" s="135">
        <v>179.547</v>
      </c>
      <c r="E718" s="133" t="s">
        <v>805</v>
      </c>
      <c r="F718" s="134"/>
    </row>
    <row r="719" spans="1:6" s="119" customFormat="1" ht="38.25">
      <c r="A719" s="24" t="s">
        <v>722</v>
      </c>
      <c r="B719" s="136" t="s">
        <v>807</v>
      </c>
      <c r="C719" s="133" t="s">
        <v>806</v>
      </c>
      <c r="D719" s="135">
        <v>96.478</v>
      </c>
      <c r="E719" s="133" t="s">
        <v>805</v>
      </c>
      <c r="F719" s="134"/>
    </row>
    <row r="720" spans="1:6" s="119" customFormat="1" ht="12.75">
      <c r="A720" s="24" t="s">
        <v>722</v>
      </c>
      <c r="B720" s="136" t="s">
        <v>804</v>
      </c>
      <c r="C720" s="133" t="s">
        <v>636</v>
      </c>
      <c r="D720" s="135">
        <v>196.389</v>
      </c>
      <c r="E720" s="133" t="s">
        <v>792</v>
      </c>
      <c r="F720" s="134"/>
    </row>
    <row r="721" spans="1:6" s="119" customFormat="1" ht="12.75">
      <c r="A721" s="24" t="s">
        <v>722</v>
      </c>
      <c r="B721" s="136" t="s">
        <v>803</v>
      </c>
      <c r="C721" s="133" t="s">
        <v>636</v>
      </c>
      <c r="D721" s="135">
        <v>196.394</v>
      </c>
      <c r="E721" s="133" t="s">
        <v>792</v>
      </c>
      <c r="F721" s="134"/>
    </row>
    <row r="722" spans="1:6" s="119" customFormat="1" ht="12.75">
      <c r="A722" s="24" t="s">
        <v>722</v>
      </c>
      <c r="B722" s="136" t="s">
        <v>802</v>
      </c>
      <c r="C722" s="133" t="s">
        <v>636</v>
      </c>
      <c r="D722" s="135">
        <v>19.373</v>
      </c>
      <c r="E722" s="133" t="s">
        <v>792</v>
      </c>
      <c r="F722" s="134"/>
    </row>
    <row r="723" spans="1:6" s="119" customFormat="1" ht="25.5">
      <c r="A723" s="24" t="s">
        <v>722</v>
      </c>
      <c r="B723" s="136" t="s">
        <v>801</v>
      </c>
      <c r="C723" s="133" t="s">
        <v>636</v>
      </c>
      <c r="D723" s="135">
        <v>82.817</v>
      </c>
      <c r="E723" s="133" t="s">
        <v>792</v>
      </c>
      <c r="F723" s="134"/>
    </row>
    <row r="724" spans="1:6" s="119" customFormat="1" ht="12.75">
      <c r="A724" s="24" t="s">
        <v>722</v>
      </c>
      <c r="B724" s="136" t="s">
        <v>800</v>
      </c>
      <c r="C724" s="133" t="s">
        <v>636</v>
      </c>
      <c r="D724" s="135">
        <v>196.459</v>
      </c>
      <c r="E724" s="133" t="s">
        <v>792</v>
      </c>
      <c r="F724" s="134"/>
    </row>
    <row r="725" spans="1:6" s="119" customFormat="1" ht="12.75">
      <c r="A725" s="24" t="s">
        <v>722</v>
      </c>
      <c r="B725" s="136" t="s">
        <v>799</v>
      </c>
      <c r="C725" s="133" t="s">
        <v>636</v>
      </c>
      <c r="D725" s="135">
        <v>130.985</v>
      </c>
      <c r="E725" s="133" t="s">
        <v>792</v>
      </c>
      <c r="F725" s="134"/>
    </row>
    <row r="726" spans="1:6" s="119" customFormat="1" ht="12.75">
      <c r="A726" s="24" t="s">
        <v>722</v>
      </c>
      <c r="B726" s="136" t="s">
        <v>798</v>
      </c>
      <c r="C726" s="133" t="s">
        <v>636</v>
      </c>
      <c r="D726" s="135">
        <v>187.645</v>
      </c>
      <c r="E726" s="133" t="s">
        <v>792</v>
      </c>
      <c r="F726" s="134"/>
    </row>
    <row r="727" spans="1:6" s="119" customFormat="1" ht="12.75">
      <c r="A727" s="24" t="s">
        <v>722</v>
      </c>
      <c r="B727" s="136" t="s">
        <v>797</v>
      </c>
      <c r="C727" s="133" t="s">
        <v>796</v>
      </c>
      <c r="D727" s="135">
        <v>12.124</v>
      </c>
      <c r="E727" s="133" t="s">
        <v>792</v>
      </c>
      <c r="F727" s="134"/>
    </row>
    <row r="728" spans="1:6" s="119" customFormat="1" ht="12.75">
      <c r="A728" s="24" t="s">
        <v>722</v>
      </c>
      <c r="B728" s="136" t="s">
        <v>795</v>
      </c>
      <c r="C728" s="133" t="s">
        <v>636</v>
      </c>
      <c r="D728" s="135">
        <v>196.088</v>
      </c>
      <c r="E728" s="133" t="s">
        <v>792</v>
      </c>
      <c r="F728" s="134"/>
    </row>
    <row r="729" spans="1:6" s="119" customFormat="1" ht="25.5">
      <c r="A729" s="24" t="s">
        <v>722</v>
      </c>
      <c r="B729" s="136" t="s">
        <v>794</v>
      </c>
      <c r="C729" s="133" t="s">
        <v>793</v>
      </c>
      <c r="D729" s="135">
        <v>130.111</v>
      </c>
      <c r="E729" s="133" t="s">
        <v>792</v>
      </c>
      <c r="F729" s="134"/>
    </row>
    <row r="730" spans="1:6" s="119" customFormat="1" ht="25.5">
      <c r="A730" s="24" t="s">
        <v>722</v>
      </c>
      <c r="B730" s="136" t="s">
        <v>791</v>
      </c>
      <c r="C730" s="133" t="s">
        <v>787</v>
      </c>
      <c r="D730" s="135">
        <v>199.932</v>
      </c>
      <c r="E730" s="24" t="s">
        <v>783</v>
      </c>
      <c r="F730" s="134"/>
    </row>
    <row r="731" spans="1:6" s="119" customFormat="1" ht="25.5">
      <c r="A731" s="24" t="s">
        <v>722</v>
      </c>
      <c r="B731" s="136" t="s">
        <v>790</v>
      </c>
      <c r="C731" s="133" t="s">
        <v>778</v>
      </c>
      <c r="D731" s="135">
        <v>96.112</v>
      </c>
      <c r="E731" s="24" t="s">
        <v>783</v>
      </c>
      <c r="F731" s="134"/>
    </row>
    <row r="732" spans="1:6" s="119" customFormat="1" ht="25.5">
      <c r="A732" s="24" t="s">
        <v>722</v>
      </c>
      <c r="B732" s="136" t="s">
        <v>789</v>
      </c>
      <c r="C732" s="133" t="s">
        <v>787</v>
      </c>
      <c r="D732" s="135">
        <v>191.569</v>
      </c>
      <c r="E732" s="24" t="s">
        <v>783</v>
      </c>
      <c r="F732" s="134"/>
    </row>
    <row r="733" spans="1:6" s="119" customFormat="1" ht="25.5">
      <c r="A733" s="24" t="s">
        <v>722</v>
      </c>
      <c r="B733" s="136" t="s">
        <v>788</v>
      </c>
      <c r="C733" s="133" t="s">
        <v>787</v>
      </c>
      <c r="D733" s="135">
        <v>199.752</v>
      </c>
      <c r="E733" s="24" t="s">
        <v>783</v>
      </c>
      <c r="F733" s="134"/>
    </row>
    <row r="734" spans="1:6" s="119" customFormat="1" ht="12.75">
      <c r="A734" s="24" t="s">
        <v>722</v>
      </c>
      <c r="B734" s="136" t="s">
        <v>786</v>
      </c>
      <c r="C734" s="133" t="s">
        <v>636</v>
      </c>
      <c r="D734" s="135">
        <v>198.624</v>
      </c>
      <c r="E734" s="24" t="s">
        <v>783</v>
      </c>
      <c r="F734" s="134"/>
    </row>
    <row r="735" spans="1:6" s="119" customFormat="1" ht="25.5">
      <c r="A735" s="24" t="s">
        <v>722</v>
      </c>
      <c r="B735" s="136" t="s">
        <v>785</v>
      </c>
      <c r="C735" s="133" t="s">
        <v>636</v>
      </c>
      <c r="D735" s="135">
        <v>199.94</v>
      </c>
      <c r="E735" s="24" t="s">
        <v>783</v>
      </c>
      <c r="F735" s="134"/>
    </row>
    <row r="736" spans="1:6" s="119" customFormat="1" ht="12.75">
      <c r="A736" s="24" t="s">
        <v>722</v>
      </c>
      <c r="B736" s="136" t="s">
        <v>784</v>
      </c>
      <c r="C736" s="133" t="s">
        <v>636</v>
      </c>
      <c r="D736" s="135">
        <v>199.963</v>
      </c>
      <c r="E736" s="24" t="s">
        <v>783</v>
      </c>
      <c r="F736" s="134"/>
    </row>
    <row r="737" spans="1:6" s="119" customFormat="1" ht="89.25">
      <c r="A737" s="24" t="s">
        <v>583</v>
      </c>
      <c r="B737" s="24" t="s">
        <v>689</v>
      </c>
      <c r="C737" s="24" t="s">
        <v>686</v>
      </c>
      <c r="D737" s="25">
        <v>39.446</v>
      </c>
      <c r="E737" s="24" t="s">
        <v>783</v>
      </c>
      <c r="F737" s="134"/>
    </row>
    <row r="738" spans="1:6" s="119" customFormat="1" ht="25.5">
      <c r="A738" s="24" t="s">
        <v>722</v>
      </c>
      <c r="B738" s="35" t="s">
        <v>782</v>
      </c>
      <c r="C738" s="133" t="s">
        <v>781</v>
      </c>
      <c r="D738" s="71">
        <v>68.648</v>
      </c>
      <c r="E738" s="133" t="s">
        <v>780</v>
      </c>
      <c r="F738" s="134"/>
    </row>
    <row r="739" spans="1:6" s="119" customFormat="1" ht="25.5">
      <c r="A739" s="24" t="s">
        <v>722</v>
      </c>
      <c r="B739" s="136" t="s">
        <v>779</v>
      </c>
      <c r="C739" s="133" t="s">
        <v>778</v>
      </c>
      <c r="D739" s="135">
        <v>69.428</v>
      </c>
      <c r="E739" s="133" t="s">
        <v>771</v>
      </c>
      <c r="F739" s="134"/>
    </row>
    <row r="740" spans="1:6" s="119" customFormat="1" ht="12.75">
      <c r="A740" s="24" t="s">
        <v>722</v>
      </c>
      <c r="B740" s="136" t="s">
        <v>777</v>
      </c>
      <c r="C740" s="133" t="s">
        <v>636</v>
      </c>
      <c r="D740" s="135">
        <v>199.966</v>
      </c>
      <c r="E740" s="133" t="s">
        <v>771</v>
      </c>
      <c r="F740" s="134"/>
    </row>
    <row r="741" spans="1:6" s="119" customFormat="1" ht="12.75">
      <c r="A741" s="24" t="s">
        <v>722</v>
      </c>
      <c r="B741" s="136" t="s">
        <v>776</v>
      </c>
      <c r="C741" s="133" t="s">
        <v>636</v>
      </c>
      <c r="D741" s="135">
        <f>178.253+21.657</f>
        <v>199.91</v>
      </c>
      <c r="E741" s="133" t="s">
        <v>771</v>
      </c>
      <c r="F741" s="134"/>
    </row>
    <row r="742" spans="1:6" s="119" customFormat="1" ht="12.75">
      <c r="A742" s="24" t="s">
        <v>722</v>
      </c>
      <c r="B742" s="136" t="s">
        <v>775</v>
      </c>
      <c r="C742" s="133" t="s">
        <v>636</v>
      </c>
      <c r="D742" s="135">
        <v>80.742</v>
      </c>
      <c r="E742" s="133" t="s">
        <v>771</v>
      </c>
      <c r="F742" s="134"/>
    </row>
    <row r="743" spans="1:6" s="119" customFormat="1" ht="12.75">
      <c r="A743" s="24" t="s">
        <v>722</v>
      </c>
      <c r="B743" s="136" t="s">
        <v>774</v>
      </c>
      <c r="C743" s="133" t="s">
        <v>636</v>
      </c>
      <c r="D743" s="135">
        <v>199.971</v>
      </c>
      <c r="E743" s="133" t="s">
        <v>771</v>
      </c>
      <c r="F743" s="134"/>
    </row>
    <row r="744" spans="1:6" s="119" customFormat="1" ht="25.5">
      <c r="A744" s="24" t="s">
        <v>722</v>
      </c>
      <c r="B744" s="136" t="s">
        <v>773</v>
      </c>
      <c r="C744" s="133" t="s">
        <v>636</v>
      </c>
      <c r="D744" s="135">
        <v>199.674</v>
      </c>
      <c r="E744" s="133" t="s">
        <v>771</v>
      </c>
      <c r="F744" s="134"/>
    </row>
    <row r="745" spans="1:6" s="119" customFormat="1" ht="25.5">
      <c r="A745" s="24" t="s">
        <v>722</v>
      </c>
      <c r="B745" s="136" t="s">
        <v>598</v>
      </c>
      <c r="C745" s="133" t="s">
        <v>772</v>
      </c>
      <c r="D745" s="135">
        <v>102.827</v>
      </c>
      <c r="E745" s="133" t="s">
        <v>771</v>
      </c>
      <c r="F745" s="134"/>
    </row>
    <row r="746" spans="1:6" s="119" customFormat="1" ht="12.75">
      <c r="A746" s="24" t="s">
        <v>722</v>
      </c>
      <c r="B746" s="136" t="s">
        <v>770</v>
      </c>
      <c r="C746" s="133" t="s">
        <v>636</v>
      </c>
      <c r="D746" s="135">
        <v>96.108</v>
      </c>
      <c r="E746" s="133" t="s">
        <v>764</v>
      </c>
      <c r="F746" s="134"/>
    </row>
    <row r="747" spans="1:6" s="119" customFormat="1" ht="12.75">
      <c r="A747" s="24" t="s">
        <v>722</v>
      </c>
      <c r="B747" s="136" t="s">
        <v>769</v>
      </c>
      <c r="C747" s="133" t="s">
        <v>636</v>
      </c>
      <c r="D747" s="135">
        <v>158.605</v>
      </c>
      <c r="E747" s="133" t="s">
        <v>764</v>
      </c>
      <c r="F747" s="134"/>
    </row>
    <row r="748" spans="1:6" s="119" customFormat="1" ht="102">
      <c r="A748" s="24" t="s">
        <v>722</v>
      </c>
      <c r="B748" s="136" t="s">
        <v>768</v>
      </c>
      <c r="C748" s="133" t="s">
        <v>767</v>
      </c>
      <c r="D748" s="135">
        <v>119.006</v>
      </c>
      <c r="E748" s="133" t="s">
        <v>764</v>
      </c>
      <c r="F748" s="134"/>
    </row>
    <row r="749" spans="1:6" s="119" customFormat="1" ht="102">
      <c r="A749" s="24" t="s">
        <v>722</v>
      </c>
      <c r="B749" s="136" t="s">
        <v>766</v>
      </c>
      <c r="C749" s="133" t="s">
        <v>765</v>
      </c>
      <c r="D749" s="135">
        <v>148.989</v>
      </c>
      <c r="E749" s="133" t="s">
        <v>764</v>
      </c>
      <c r="F749" s="134"/>
    </row>
    <row r="750" spans="1:6" s="119" customFormat="1" ht="38.25">
      <c r="A750" s="24" t="s">
        <v>583</v>
      </c>
      <c r="B750" s="24" t="s">
        <v>763</v>
      </c>
      <c r="C750" s="24" t="s">
        <v>762</v>
      </c>
      <c r="D750" s="132">
        <f>0.001*105669</f>
        <v>105.669</v>
      </c>
      <c r="E750" s="24" t="s">
        <v>754</v>
      </c>
      <c r="F750" s="134"/>
    </row>
    <row r="751" spans="1:6" s="119" customFormat="1" ht="38.25">
      <c r="A751" s="24" t="s">
        <v>583</v>
      </c>
      <c r="B751" s="24" t="s">
        <v>761</v>
      </c>
      <c r="C751" s="24" t="s">
        <v>760</v>
      </c>
      <c r="D751" s="132">
        <v>199.817</v>
      </c>
      <c r="E751" s="24" t="s">
        <v>754</v>
      </c>
      <c r="F751" s="120"/>
    </row>
    <row r="752" spans="1:6" s="119" customFormat="1" ht="76.5">
      <c r="A752" s="24" t="s">
        <v>759</v>
      </c>
      <c r="B752" s="24" t="s">
        <v>758</v>
      </c>
      <c r="C752" s="133" t="s">
        <v>757</v>
      </c>
      <c r="D752" s="132">
        <v>181.57</v>
      </c>
      <c r="E752" s="24" t="s">
        <v>754</v>
      </c>
      <c r="F752" s="120"/>
    </row>
    <row r="753" spans="1:6" s="119" customFormat="1" ht="102">
      <c r="A753" s="24" t="s">
        <v>651</v>
      </c>
      <c r="B753" s="24" t="s">
        <v>756</v>
      </c>
      <c r="C753" s="133" t="s">
        <v>755</v>
      </c>
      <c r="D753" s="132">
        <v>138.748</v>
      </c>
      <c r="E753" s="24" t="s">
        <v>754</v>
      </c>
      <c r="F753" s="120"/>
    </row>
    <row r="754" spans="1:6" s="119" customFormat="1" ht="76.5">
      <c r="A754" s="24" t="s">
        <v>651</v>
      </c>
      <c r="B754" s="24" t="s">
        <v>650</v>
      </c>
      <c r="C754" s="24" t="s">
        <v>649</v>
      </c>
      <c r="D754" s="25">
        <f>(50699.25+43706.25+36713.25)*0.001</f>
        <v>131.11875</v>
      </c>
      <c r="E754" s="24" t="s">
        <v>754</v>
      </c>
      <c r="F754" s="120"/>
    </row>
    <row r="755" spans="1:6" s="119" customFormat="1" ht="76.5">
      <c r="A755" s="24" t="s">
        <v>583</v>
      </c>
      <c r="B755" s="24" t="s">
        <v>583</v>
      </c>
      <c r="C755" s="24" t="s">
        <v>753</v>
      </c>
      <c r="D755" s="25">
        <f>397.003+2.997</f>
        <v>400</v>
      </c>
      <c r="E755" s="24" t="s">
        <v>745</v>
      </c>
      <c r="F755" s="120"/>
    </row>
    <row r="756" spans="1:6" s="119" customFormat="1" ht="76.5">
      <c r="A756" s="24" t="s">
        <v>583</v>
      </c>
      <c r="B756" s="24" t="s">
        <v>683</v>
      </c>
      <c r="C756" s="24" t="s">
        <v>752</v>
      </c>
      <c r="D756" s="25">
        <v>56.655</v>
      </c>
      <c r="E756" s="24" t="s">
        <v>745</v>
      </c>
      <c r="F756" s="120"/>
    </row>
    <row r="757" spans="1:6" s="119" customFormat="1" ht="63.75">
      <c r="A757" s="24" t="s">
        <v>583</v>
      </c>
      <c r="B757" s="24" t="s">
        <v>751</v>
      </c>
      <c r="C757" s="24" t="s">
        <v>750</v>
      </c>
      <c r="D757" s="25">
        <v>818.893</v>
      </c>
      <c r="E757" s="24" t="s">
        <v>745</v>
      </c>
      <c r="F757" s="120"/>
    </row>
    <row r="758" spans="1:6" s="119" customFormat="1" ht="51">
      <c r="A758" s="24" t="s">
        <v>583</v>
      </c>
      <c r="B758" s="24" t="s">
        <v>749</v>
      </c>
      <c r="C758" s="24" t="s">
        <v>748</v>
      </c>
      <c r="D758" s="25">
        <v>274.215</v>
      </c>
      <c r="E758" s="24" t="s">
        <v>745</v>
      </c>
      <c r="F758" s="120"/>
    </row>
    <row r="759" spans="1:6" s="119" customFormat="1" ht="63.75">
      <c r="A759" s="24" t="s">
        <v>583</v>
      </c>
      <c r="B759" s="24" t="s">
        <v>747</v>
      </c>
      <c r="C759" s="24" t="s">
        <v>746</v>
      </c>
      <c r="D759" s="25">
        <f>101.495+2.137+22.127+29.983+14.86+20.38+14.839+10.954</f>
        <v>216.77499999999998</v>
      </c>
      <c r="E759" s="24" t="s">
        <v>745</v>
      </c>
      <c r="F759" s="120"/>
    </row>
    <row r="760" spans="1:6" s="119" customFormat="1" ht="63.75">
      <c r="A760" s="24" t="s">
        <v>583</v>
      </c>
      <c r="B760" s="24" t="s">
        <v>747</v>
      </c>
      <c r="C760" s="24" t="s">
        <v>746</v>
      </c>
      <c r="D760" s="25">
        <f>163.334+(92229.64+53719.56+51707.46+40187.46+52519.56+2137.2+36460.84+39820.84+1424.8)/1000</f>
        <v>533.5413599999999</v>
      </c>
      <c r="E760" s="24" t="s">
        <v>745</v>
      </c>
      <c r="F760" s="120"/>
    </row>
    <row r="761" spans="1:6" s="119" customFormat="1" ht="178.5">
      <c r="A761" s="24" t="s">
        <v>722</v>
      </c>
      <c r="B761" s="24" t="s">
        <v>744</v>
      </c>
      <c r="C761" s="24" t="s">
        <v>720</v>
      </c>
      <c r="D761" s="25">
        <f>(87586.12+232157.61+10395+370315.98+194731.88+139567.98+49459.5)/1000</f>
        <v>1084.2140699999998</v>
      </c>
      <c r="E761" s="24" t="s">
        <v>743</v>
      </c>
      <c r="F761" s="120"/>
    </row>
    <row r="762" spans="1:6" s="119" customFormat="1" ht="25.5">
      <c r="A762" s="24" t="s">
        <v>583</v>
      </c>
      <c r="B762" s="24" t="s">
        <v>742</v>
      </c>
      <c r="C762" s="24" t="s">
        <v>741</v>
      </c>
      <c r="D762" s="25">
        <v>194.519</v>
      </c>
      <c r="E762" s="24" t="s">
        <v>740</v>
      </c>
      <c r="F762" s="120"/>
    </row>
    <row r="763" spans="1:6" s="119" customFormat="1" ht="25.5">
      <c r="A763" s="24" t="s">
        <v>722</v>
      </c>
      <c r="B763" s="24" t="s">
        <v>739</v>
      </c>
      <c r="C763" s="24" t="s">
        <v>738</v>
      </c>
      <c r="D763" s="25">
        <v>264.96</v>
      </c>
      <c r="E763" s="24" t="s">
        <v>735</v>
      </c>
      <c r="F763" s="120"/>
    </row>
    <row r="764" spans="1:6" s="119" customFormat="1" ht="25.5">
      <c r="A764" s="24" t="s">
        <v>583</v>
      </c>
      <c r="B764" s="24" t="s">
        <v>737</v>
      </c>
      <c r="C764" s="24" t="s">
        <v>736</v>
      </c>
      <c r="D764" s="25">
        <v>264.96</v>
      </c>
      <c r="E764" s="24" t="s">
        <v>735</v>
      </c>
      <c r="F764" s="120"/>
    </row>
    <row r="765" spans="1:6" s="119" customFormat="1" ht="165.75">
      <c r="A765" s="24" t="s">
        <v>583</v>
      </c>
      <c r="B765" s="24" t="s">
        <v>724</v>
      </c>
      <c r="C765" s="24" t="s">
        <v>723</v>
      </c>
      <c r="D765" s="25">
        <f>(2807.53+87001.12+91165.56+78123.35+98058.08+47344.56+28712.4+179932.73+94838.36+34052.4+222684.04+97147+191204.7+90460.96)/1000</f>
        <v>1343.53279</v>
      </c>
      <c r="E765" s="24" t="s">
        <v>734</v>
      </c>
      <c r="F765" s="120"/>
    </row>
    <row r="766" spans="1:6" s="119" customFormat="1" ht="76.5">
      <c r="A766" s="24" t="s">
        <v>583</v>
      </c>
      <c r="B766" s="24" t="s">
        <v>733</v>
      </c>
      <c r="C766" s="24" t="s">
        <v>732</v>
      </c>
      <c r="D766" s="25">
        <v>959.683</v>
      </c>
      <c r="E766" s="24" t="s">
        <v>713</v>
      </c>
      <c r="F766" s="120"/>
    </row>
    <row r="767" spans="1:6" s="119" customFormat="1" ht="63.75">
      <c r="A767" s="24" t="s">
        <v>583</v>
      </c>
      <c r="B767" s="24" t="s">
        <v>684</v>
      </c>
      <c r="C767" s="24" t="s">
        <v>731</v>
      </c>
      <c r="D767" s="25">
        <v>31.454</v>
      </c>
      <c r="E767" s="24" t="s">
        <v>713</v>
      </c>
      <c r="F767" s="120"/>
    </row>
    <row r="768" spans="1:6" s="119" customFormat="1" ht="38.25">
      <c r="A768" s="24" t="s">
        <v>583</v>
      </c>
      <c r="B768" s="24" t="s">
        <v>730</v>
      </c>
      <c r="C768" s="24" t="s">
        <v>682</v>
      </c>
      <c r="D768" s="25">
        <v>58.555</v>
      </c>
      <c r="E768" s="24" t="s">
        <v>713</v>
      </c>
      <c r="F768" s="120"/>
    </row>
    <row r="769" spans="1:6" s="119" customFormat="1" ht="38.25">
      <c r="A769" s="24" t="s">
        <v>583</v>
      </c>
      <c r="B769" s="24" t="s">
        <v>729</v>
      </c>
      <c r="C769" s="24" t="s">
        <v>682</v>
      </c>
      <c r="D769" s="25">
        <v>28.405</v>
      </c>
      <c r="E769" s="24" t="s">
        <v>713</v>
      </c>
      <c r="F769" s="120"/>
    </row>
    <row r="770" spans="1:6" s="119" customFormat="1" ht="63.75">
      <c r="A770" s="24" t="s">
        <v>583</v>
      </c>
      <c r="B770" s="24" t="s">
        <v>728</v>
      </c>
      <c r="C770" s="24" t="s">
        <v>727</v>
      </c>
      <c r="D770" s="25">
        <v>153.914</v>
      </c>
      <c r="E770" s="24" t="s">
        <v>713</v>
      </c>
      <c r="F770" s="120"/>
    </row>
    <row r="771" spans="1:6" s="119" customFormat="1" ht="38.25">
      <c r="A771" s="24" t="s">
        <v>583</v>
      </c>
      <c r="B771" s="24" t="s">
        <v>726</v>
      </c>
      <c r="C771" s="24" t="s">
        <v>682</v>
      </c>
      <c r="D771" s="25">
        <v>137.518</v>
      </c>
      <c r="E771" s="24" t="s">
        <v>713</v>
      </c>
      <c r="F771" s="120"/>
    </row>
    <row r="772" spans="1:6" s="119" customFormat="1" ht="38.25">
      <c r="A772" s="24" t="s">
        <v>722</v>
      </c>
      <c r="B772" s="24" t="s">
        <v>725</v>
      </c>
      <c r="C772" s="24" t="s">
        <v>682</v>
      </c>
      <c r="D772" s="25">
        <v>111.089</v>
      </c>
      <c r="E772" s="24" t="s">
        <v>713</v>
      </c>
      <c r="F772" s="120"/>
    </row>
    <row r="773" spans="1:6" s="119" customFormat="1" ht="165.75">
      <c r="A773" s="24" t="s">
        <v>722</v>
      </c>
      <c r="B773" s="24" t="s">
        <v>724</v>
      </c>
      <c r="C773" s="24" t="s">
        <v>723</v>
      </c>
      <c r="D773" s="25">
        <f>891.684+10.35+50.893+75.618</f>
        <v>1028.545</v>
      </c>
      <c r="E773" s="24" t="s">
        <v>713</v>
      </c>
      <c r="F773" s="120"/>
    </row>
    <row r="774" spans="1:6" s="119" customFormat="1" ht="178.5">
      <c r="A774" s="24" t="s">
        <v>722</v>
      </c>
      <c r="B774" s="24" t="s">
        <v>721</v>
      </c>
      <c r="C774" s="24" t="s">
        <v>720</v>
      </c>
      <c r="D774" s="25">
        <f>1755.408+5.63+30.058+34.316+9.775</f>
        <v>1835.1870000000001</v>
      </c>
      <c r="E774" s="24" t="s">
        <v>713</v>
      </c>
      <c r="F774" s="120"/>
    </row>
    <row r="775" spans="1:6" s="119" customFormat="1" ht="102">
      <c r="A775" s="24" t="s">
        <v>583</v>
      </c>
      <c r="B775" s="24" t="s">
        <v>719</v>
      </c>
      <c r="C775" s="24" t="s">
        <v>718</v>
      </c>
      <c r="D775" s="25">
        <v>40.11925</v>
      </c>
      <c r="E775" s="24" t="s">
        <v>713</v>
      </c>
      <c r="F775" s="120"/>
    </row>
    <row r="776" spans="1:6" s="119" customFormat="1" ht="114.75">
      <c r="A776" s="24" t="s">
        <v>583</v>
      </c>
      <c r="B776" s="24" t="s">
        <v>717</v>
      </c>
      <c r="C776" s="24" t="s">
        <v>716</v>
      </c>
      <c r="D776" s="25">
        <v>71.76242</v>
      </c>
      <c r="E776" s="24" t="s">
        <v>713</v>
      </c>
      <c r="F776" s="120"/>
    </row>
    <row r="777" spans="1:6" s="119" customFormat="1" ht="89.25">
      <c r="A777" s="24" t="s">
        <v>583</v>
      </c>
      <c r="B777" s="24" t="s">
        <v>697</v>
      </c>
      <c r="C777" s="24" t="s">
        <v>715</v>
      </c>
      <c r="D777" s="25">
        <v>768.183</v>
      </c>
      <c r="E777" s="24" t="s">
        <v>713</v>
      </c>
      <c r="F777" s="120"/>
    </row>
    <row r="778" spans="1:6" s="119" customFormat="1" ht="89.25">
      <c r="A778" s="24" t="s">
        <v>583</v>
      </c>
      <c r="B778" s="24" t="s">
        <v>689</v>
      </c>
      <c r="C778" s="24" t="s">
        <v>714</v>
      </c>
      <c r="D778" s="25">
        <v>59.004</v>
      </c>
      <c r="E778" s="24" t="s">
        <v>713</v>
      </c>
      <c r="F778" s="120"/>
    </row>
    <row r="779" spans="1:6" s="119" customFormat="1" ht="76.5">
      <c r="A779" s="24" t="s">
        <v>583</v>
      </c>
      <c r="B779" s="24" t="s">
        <v>697</v>
      </c>
      <c r="C779" s="24" t="s">
        <v>704</v>
      </c>
      <c r="D779" s="25">
        <f>(386031.31+463816.28+81039.11+95840.68+149953.47+73690.65+28962.91)/1000</f>
        <v>1279.33441</v>
      </c>
      <c r="E779" s="24" t="s">
        <v>702</v>
      </c>
      <c r="F779" s="120"/>
    </row>
    <row r="780" spans="1:6" s="119" customFormat="1" ht="25.5">
      <c r="A780" s="24" t="s">
        <v>583</v>
      </c>
      <c r="B780" s="24" t="s">
        <v>712</v>
      </c>
      <c r="C780" s="24" t="s">
        <v>706</v>
      </c>
      <c r="D780" s="25">
        <v>89.846</v>
      </c>
      <c r="E780" s="24" t="s">
        <v>702</v>
      </c>
      <c r="F780" s="120"/>
    </row>
    <row r="781" spans="1:6" s="119" customFormat="1" ht="38.25">
      <c r="A781" s="24" t="s">
        <v>583</v>
      </c>
      <c r="B781" s="24" t="s">
        <v>711</v>
      </c>
      <c r="C781" s="24" t="s">
        <v>710</v>
      </c>
      <c r="D781" s="25">
        <v>71.904</v>
      </c>
      <c r="E781" s="24" t="s">
        <v>702</v>
      </c>
      <c r="F781" s="120"/>
    </row>
    <row r="782" spans="1:6" s="119" customFormat="1" ht="25.5">
      <c r="A782" s="24" t="s">
        <v>583</v>
      </c>
      <c r="B782" s="24" t="s">
        <v>709</v>
      </c>
      <c r="C782" s="24" t="s">
        <v>706</v>
      </c>
      <c r="D782" s="25">
        <v>191.091</v>
      </c>
      <c r="E782" s="24" t="s">
        <v>702</v>
      </c>
      <c r="F782" s="120"/>
    </row>
    <row r="783" spans="1:6" s="119" customFormat="1" ht="25.5">
      <c r="A783" s="24" t="s">
        <v>583</v>
      </c>
      <c r="B783" s="24" t="s">
        <v>708</v>
      </c>
      <c r="C783" s="24" t="s">
        <v>706</v>
      </c>
      <c r="D783" s="25">
        <v>195.96</v>
      </c>
      <c r="E783" s="24" t="s">
        <v>702</v>
      </c>
      <c r="F783" s="120"/>
    </row>
    <row r="784" spans="1:6" s="119" customFormat="1" ht="25.5">
      <c r="A784" s="24" t="s">
        <v>583</v>
      </c>
      <c r="B784" s="24" t="s">
        <v>707</v>
      </c>
      <c r="C784" s="24" t="s">
        <v>706</v>
      </c>
      <c r="D784" s="25">
        <v>199.479</v>
      </c>
      <c r="E784" s="24" t="s">
        <v>702</v>
      </c>
      <c r="F784" s="120"/>
    </row>
    <row r="785" spans="1:6" s="119" customFormat="1" ht="51">
      <c r="A785" s="24" t="s">
        <v>583</v>
      </c>
      <c r="B785" s="24" t="s">
        <v>658</v>
      </c>
      <c r="C785" s="24" t="s">
        <v>705</v>
      </c>
      <c r="D785" s="25">
        <v>197.587</v>
      </c>
      <c r="E785" s="24" t="s">
        <v>702</v>
      </c>
      <c r="F785" s="120"/>
    </row>
    <row r="786" spans="1:6" s="119" customFormat="1" ht="76.5">
      <c r="A786" s="24" t="s">
        <v>583</v>
      </c>
      <c r="B786" s="24" t="s">
        <v>658</v>
      </c>
      <c r="C786" s="24" t="s">
        <v>704</v>
      </c>
      <c r="D786" s="25">
        <f>(404283.99+319425.63+268936.06+230564.26+194142.63+283756.34+72310.9+134104.88+35096.82+32990.94+32924.35+11604.5)/1000+198.592</f>
        <v>2218.7333</v>
      </c>
      <c r="E786" s="24" t="s">
        <v>702</v>
      </c>
      <c r="F786" s="120"/>
    </row>
    <row r="787" spans="1:6" s="119" customFormat="1" ht="63.75">
      <c r="A787" s="24" t="s">
        <v>583</v>
      </c>
      <c r="B787" s="24" t="s">
        <v>658</v>
      </c>
      <c r="C787" s="24" t="s">
        <v>703</v>
      </c>
      <c r="D787" s="25">
        <v>96.691</v>
      </c>
      <c r="E787" s="24" t="s">
        <v>702</v>
      </c>
      <c r="F787" s="120"/>
    </row>
    <row r="788" spans="1:6" s="119" customFormat="1" ht="89.25">
      <c r="A788" s="24" t="s">
        <v>583</v>
      </c>
      <c r="B788" s="24" t="s">
        <v>687</v>
      </c>
      <c r="C788" s="24" t="s">
        <v>688</v>
      </c>
      <c r="D788" s="25">
        <v>27.023</v>
      </c>
      <c r="E788" s="24" t="s">
        <v>701</v>
      </c>
      <c r="F788" s="120"/>
    </row>
    <row r="789" spans="1:6" s="119" customFormat="1" ht="89.25">
      <c r="A789" s="24" t="s">
        <v>583</v>
      </c>
      <c r="B789" s="24" t="s">
        <v>687</v>
      </c>
      <c r="C789" s="24" t="s">
        <v>700</v>
      </c>
      <c r="D789" s="25">
        <v>195.758</v>
      </c>
      <c r="E789" s="24" t="s">
        <v>695</v>
      </c>
      <c r="F789" s="120"/>
    </row>
    <row r="790" spans="1:6" s="119" customFormat="1" ht="89.25">
      <c r="A790" s="24" t="s">
        <v>583</v>
      </c>
      <c r="B790" s="24" t="s">
        <v>658</v>
      </c>
      <c r="C790" s="24" t="s">
        <v>700</v>
      </c>
      <c r="D790" s="25">
        <v>204.894</v>
      </c>
      <c r="E790" s="24" t="s">
        <v>695</v>
      </c>
      <c r="F790" s="120"/>
    </row>
    <row r="791" spans="1:6" s="119" customFormat="1" ht="51">
      <c r="A791" s="24" t="s">
        <v>583</v>
      </c>
      <c r="B791" s="24" t="s">
        <v>699</v>
      </c>
      <c r="C791" s="24" t="s">
        <v>698</v>
      </c>
      <c r="D791" s="25">
        <v>325.677</v>
      </c>
      <c r="E791" s="24" t="s">
        <v>695</v>
      </c>
      <c r="F791" s="120"/>
    </row>
    <row r="792" spans="1:6" s="119" customFormat="1" ht="89.25">
      <c r="A792" s="24" t="s">
        <v>583</v>
      </c>
      <c r="B792" s="24" t="s">
        <v>697</v>
      </c>
      <c r="C792" s="24" t="s">
        <v>696</v>
      </c>
      <c r="D792" s="25">
        <v>98.742</v>
      </c>
      <c r="E792" s="24" t="s">
        <v>695</v>
      </c>
      <c r="F792" s="120"/>
    </row>
    <row r="793" spans="1:6" s="119" customFormat="1" ht="25.5">
      <c r="A793" s="24" t="s">
        <v>583</v>
      </c>
      <c r="B793" s="24" t="s">
        <v>583</v>
      </c>
      <c r="C793" s="24" t="s">
        <v>694</v>
      </c>
      <c r="D793" s="25">
        <f>(94.32+94.32+94.32+94.32+94.32+94.32+94.32+95.06)/1000</f>
        <v>0.7553</v>
      </c>
      <c r="E793" s="24" t="s">
        <v>692</v>
      </c>
      <c r="F793" s="120"/>
    </row>
    <row r="794" spans="1:6" s="119" customFormat="1" ht="25.5">
      <c r="A794" s="24" t="s">
        <v>583</v>
      </c>
      <c r="B794" s="24" t="s">
        <v>583</v>
      </c>
      <c r="C794" s="24" t="s">
        <v>693</v>
      </c>
      <c r="D794" s="25">
        <f>27.307+(5452.5+5452.5+5452.5+5452.5+5452.5+5452.5+4955.45)/1000</f>
        <v>64.97744999999999</v>
      </c>
      <c r="E794" s="24" t="s">
        <v>692</v>
      </c>
      <c r="F794" s="120"/>
    </row>
    <row r="795" spans="1:6" s="119" customFormat="1" ht="51">
      <c r="A795" s="24" t="s">
        <v>583</v>
      </c>
      <c r="B795" s="24" t="s">
        <v>583</v>
      </c>
      <c r="C795" s="24" t="s">
        <v>691</v>
      </c>
      <c r="D795" s="25">
        <v>59.58335</v>
      </c>
      <c r="E795" s="24" t="s">
        <v>690</v>
      </c>
      <c r="F795" s="120"/>
    </row>
    <row r="796" spans="1:6" s="119" customFormat="1" ht="89.25">
      <c r="A796" s="24" t="s">
        <v>583</v>
      </c>
      <c r="B796" s="24" t="s">
        <v>689</v>
      </c>
      <c r="C796" s="24" t="s">
        <v>688</v>
      </c>
      <c r="D796" s="25">
        <f>(116326.94+104683.28+42093.94+131264.34+90137.58+71888.96+76488.49+20958+193465.73+156727.12+99364.81+74166.21+9603.6+90298.16+2395.45+2395.45)/1000+601.166+162.443</f>
        <v>2045.8670599999998</v>
      </c>
      <c r="E796" s="24" t="s">
        <v>679</v>
      </c>
      <c r="F796" s="120"/>
    </row>
    <row r="797" spans="1:6" s="119" customFormat="1" ht="89.25">
      <c r="A797" s="24" t="s">
        <v>583</v>
      </c>
      <c r="B797" s="24" t="s">
        <v>687</v>
      </c>
      <c r="C797" s="24" t="s">
        <v>686</v>
      </c>
      <c r="D797" s="25">
        <f>162.036+(107333.78+49373.81+48748.2+36593.61+66355.3+90245.4+89057.32+63517.2+63962.56+122617.89+102759.45+31571.86+43739.97+28958.25)/1000</f>
        <v>1106.8706</v>
      </c>
      <c r="E797" s="24" t="s">
        <v>679</v>
      </c>
      <c r="F797" s="120"/>
    </row>
    <row r="798" spans="1:6" s="119" customFormat="1" ht="38.25">
      <c r="A798" s="24" t="s">
        <v>583</v>
      </c>
      <c r="B798" s="24" t="s">
        <v>685</v>
      </c>
      <c r="C798" s="24" t="s">
        <v>682</v>
      </c>
      <c r="D798" s="25">
        <f>29.882+(35085.84+211061.39+127915.8+133995.52+91195.8+281323.33+127915.8+120211.8+78759.44+33741.16+27707.44+13622.24+12159.44)/1000</f>
        <v>1324.577</v>
      </c>
      <c r="E798" s="24" t="s">
        <v>679</v>
      </c>
      <c r="F798" s="120"/>
    </row>
    <row r="799" spans="1:6" s="119" customFormat="1" ht="38.25">
      <c r="A799" s="24" t="s">
        <v>583</v>
      </c>
      <c r="B799" s="24" t="s">
        <v>684</v>
      </c>
      <c r="C799" s="24" t="s">
        <v>682</v>
      </c>
      <c r="D799" s="25">
        <f>65.095+(12148.8+6517.44+14144.22+47906.05+32967.65+13538.8+21478.8+20626.8+38862.25+38134.25+35149.72+32573.85+21459.75+20211.75)/1000</f>
        <v>420.81512999999995</v>
      </c>
      <c r="E799" s="24" t="s">
        <v>679</v>
      </c>
      <c r="F799" s="120"/>
    </row>
    <row r="800" spans="1:6" s="119" customFormat="1" ht="38.25">
      <c r="A800" s="24" t="s">
        <v>583</v>
      </c>
      <c r="B800" s="24" t="s">
        <v>683</v>
      </c>
      <c r="C800" s="24" t="s">
        <v>682</v>
      </c>
      <c r="D800" s="25">
        <f>100.002+(27578.25+9432.15+20211.75+21559.2+32143.25+40039.2+32531.75+31988.03+27270.52+21270.52+18937.08+11938.8)/1000</f>
        <v>394.90250000000003</v>
      </c>
      <c r="E800" s="24" t="s">
        <v>679</v>
      </c>
      <c r="F800" s="120"/>
    </row>
    <row r="801" spans="1:6" s="119" customFormat="1" ht="12.75">
      <c r="A801" s="24" t="s">
        <v>583</v>
      </c>
      <c r="B801" s="131" t="s">
        <v>681</v>
      </c>
      <c r="C801" s="24" t="s">
        <v>680</v>
      </c>
      <c r="D801" s="25">
        <v>28.521</v>
      </c>
      <c r="E801" s="24" t="s">
        <v>679</v>
      </c>
      <c r="F801" s="120"/>
    </row>
    <row r="802" spans="1:6" s="119" customFormat="1" ht="25.5">
      <c r="A802" s="24" t="s">
        <v>583</v>
      </c>
      <c r="B802" s="24" t="s">
        <v>583</v>
      </c>
      <c r="C802" s="24" t="s">
        <v>678</v>
      </c>
      <c r="D802" s="25">
        <f>(21989.1+15087.91+33714.64+29206.88+99982.5)/1000</f>
        <v>199.98103</v>
      </c>
      <c r="E802" s="24" t="s">
        <v>677</v>
      </c>
      <c r="F802" s="120"/>
    </row>
    <row r="803" spans="1:6" s="119" customFormat="1" ht="12.75">
      <c r="A803" s="24" t="s">
        <v>583</v>
      </c>
      <c r="B803" s="24" t="s">
        <v>583</v>
      </c>
      <c r="C803" s="24" t="s">
        <v>676</v>
      </c>
      <c r="D803" s="25">
        <f>13.698+34.416+34.41887+20.575</f>
        <v>103.10787</v>
      </c>
      <c r="E803" s="24" t="s">
        <v>675</v>
      </c>
      <c r="F803" s="120"/>
    </row>
    <row r="804" spans="1:6" s="119" customFormat="1" ht="12.75">
      <c r="A804" s="24" t="s">
        <v>583</v>
      </c>
      <c r="B804" s="24" t="s">
        <v>583</v>
      </c>
      <c r="C804" s="24" t="s">
        <v>676</v>
      </c>
      <c r="D804" s="25">
        <f>0.84319+0.5736+0.5736+1.45694+0.837</f>
        <v>4.28433</v>
      </c>
      <c r="E804" s="24" t="s">
        <v>675</v>
      </c>
      <c r="F804" s="120"/>
    </row>
    <row r="805" spans="1:6" s="119" customFormat="1" ht="12.75">
      <c r="A805" s="24" t="s">
        <v>583</v>
      </c>
      <c r="B805" s="24" t="s">
        <v>583</v>
      </c>
      <c r="C805" s="24" t="s">
        <v>676</v>
      </c>
      <c r="D805" s="25">
        <f>0.37284+0.45888+0.427</f>
        <v>1.25872</v>
      </c>
      <c r="E805" s="24" t="s">
        <v>675</v>
      </c>
      <c r="F805" s="120"/>
    </row>
    <row r="806" spans="1:6" s="119" customFormat="1" ht="25.5">
      <c r="A806" s="24" t="s">
        <v>583</v>
      </c>
      <c r="B806" s="24" t="s">
        <v>583</v>
      </c>
      <c r="C806" s="24" t="s">
        <v>674</v>
      </c>
      <c r="D806" s="25">
        <v>12.503</v>
      </c>
      <c r="E806" s="24" t="s">
        <v>673</v>
      </c>
      <c r="F806" s="120"/>
    </row>
    <row r="807" spans="1:6" s="119" customFormat="1" ht="12.75">
      <c r="A807" s="24" t="s">
        <v>583</v>
      </c>
      <c r="B807" s="24" t="s">
        <v>583</v>
      </c>
      <c r="C807" s="24" t="s">
        <v>672</v>
      </c>
      <c r="D807" s="25">
        <f>2.195+(438.3+438.3+438.3+438.3+438.3+438.3+438.3)/1000</f>
        <v>5.2631</v>
      </c>
      <c r="E807" s="24" t="s">
        <v>671</v>
      </c>
      <c r="F807" s="120"/>
    </row>
    <row r="808" spans="1:6" s="119" customFormat="1" ht="63.75">
      <c r="A808" s="24" t="s">
        <v>583</v>
      </c>
      <c r="B808" s="24" t="s">
        <v>670</v>
      </c>
      <c r="C808" s="24" t="s">
        <v>669</v>
      </c>
      <c r="D808" s="25">
        <v>29.034</v>
      </c>
      <c r="E808" s="24" t="s">
        <v>668</v>
      </c>
      <c r="F808" s="120"/>
    </row>
    <row r="809" spans="1:6" s="119" customFormat="1" ht="89.25">
      <c r="A809" s="24" t="s">
        <v>583</v>
      </c>
      <c r="B809" s="24" t="s">
        <v>583</v>
      </c>
      <c r="C809" s="24" t="s">
        <v>667</v>
      </c>
      <c r="D809" s="25">
        <f>3421.706+(134955.6+366501.6+248276.4+155994+401299.2+261117.6+132210+242474.4+139086+258834+204452.4+157700.4+199848+175941.6+337939.2+167144.4+146072.4+294798+87081.6+608241.6+296137.6)/1000+1405.724+1333.024</f>
        <v>11176.559999999998</v>
      </c>
      <c r="E809" s="24" t="s">
        <v>665</v>
      </c>
      <c r="F809" s="120"/>
    </row>
    <row r="810" spans="1:6" s="119" customFormat="1" ht="25.5">
      <c r="A810" s="24" t="s">
        <v>583</v>
      </c>
      <c r="B810" s="24" t="s">
        <v>583</v>
      </c>
      <c r="C810" s="24" t="s">
        <v>666</v>
      </c>
      <c r="D810" s="25">
        <v>44.872</v>
      </c>
      <c r="E810" s="24" t="s">
        <v>665</v>
      </c>
      <c r="F810" s="120"/>
    </row>
    <row r="811" spans="1:6" s="119" customFormat="1" ht="25.5">
      <c r="A811" s="24" t="s">
        <v>583</v>
      </c>
      <c r="B811" s="24" t="s">
        <v>664</v>
      </c>
      <c r="C811" s="24" t="s">
        <v>663</v>
      </c>
      <c r="D811" s="25">
        <f>807.912+3673.52+412.652+315.531+294.15+363.48+37.417+1079.671</f>
        <v>6984.333</v>
      </c>
      <c r="E811" s="24" t="s">
        <v>662</v>
      </c>
      <c r="F811" s="120"/>
    </row>
    <row r="812" spans="1:6" s="119" customFormat="1" ht="51">
      <c r="A812" s="24" t="s">
        <v>583</v>
      </c>
      <c r="B812" s="24" t="s">
        <v>661</v>
      </c>
      <c r="C812" s="24" t="s">
        <v>660</v>
      </c>
      <c r="D812" s="25">
        <f>196.794+84.545</f>
        <v>281.339</v>
      </c>
      <c r="E812" s="24" t="s">
        <v>659</v>
      </c>
      <c r="F812" s="120"/>
    </row>
    <row r="813" spans="1:6" s="119" customFormat="1" ht="25.5">
      <c r="A813" s="24" t="s">
        <v>583</v>
      </c>
      <c r="B813" s="24" t="s">
        <v>658</v>
      </c>
      <c r="C813" s="24" t="s">
        <v>657</v>
      </c>
      <c r="D813" s="25">
        <f>(135794.41+112091.4+118450.37+109164.37+107375.7+94199.53)/1000</f>
        <v>677.07578</v>
      </c>
      <c r="E813" s="24" t="s">
        <v>652</v>
      </c>
      <c r="F813" s="120"/>
    </row>
    <row r="814" spans="1:6" s="119" customFormat="1" ht="63.75">
      <c r="A814" s="24" t="s">
        <v>583</v>
      </c>
      <c r="B814" s="24" t="s">
        <v>656</v>
      </c>
      <c r="C814" s="24" t="s">
        <v>655</v>
      </c>
      <c r="D814" s="25">
        <f>102.9004+42.09012+58.47419+113.78914+1083.672+1252.034</f>
        <v>2652.95985</v>
      </c>
      <c r="E814" s="24" t="s">
        <v>652</v>
      </c>
      <c r="F814" s="120"/>
    </row>
    <row r="815" spans="1:6" s="119" customFormat="1" ht="63.75">
      <c r="A815" s="24" t="s">
        <v>583</v>
      </c>
      <c r="B815" s="24" t="s">
        <v>654</v>
      </c>
      <c r="C815" s="24" t="s">
        <v>653</v>
      </c>
      <c r="D815" s="25">
        <f>132.39308+52.57706+68.69321+108.26239+1020.051+1942.329+71.855+62.906+2.899+187.916+111.577+92.195+101.137</f>
        <v>3954.7907400000004</v>
      </c>
      <c r="E815" s="24" t="s">
        <v>652</v>
      </c>
      <c r="F815" s="120"/>
    </row>
    <row r="816" spans="1:6" s="119" customFormat="1" ht="76.5">
      <c r="A816" s="24" t="s">
        <v>651</v>
      </c>
      <c r="B816" s="24" t="s">
        <v>650</v>
      </c>
      <c r="C816" s="24" t="s">
        <v>649</v>
      </c>
      <c r="D816" s="25">
        <f>94.84+105.068</f>
        <v>199.90800000000002</v>
      </c>
      <c r="E816" s="24" t="s">
        <v>648</v>
      </c>
      <c r="F816" s="120"/>
    </row>
    <row r="817" spans="1:6" s="119" customFormat="1" ht="25.5">
      <c r="A817" s="24" t="s">
        <v>583</v>
      </c>
      <c r="B817" s="24" t="s">
        <v>583</v>
      </c>
      <c r="C817" s="24" t="s">
        <v>647</v>
      </c>
      <c r="D817" s="25">
        <v>23.99</v>
      </c>
      <c r="E817" s="24" t="s">
        <v>642</v>
      </c>
      <c r="F817" s="120"/>
    </row>
    <row r="818" spans="1:6" s="119" customFormat="1" ht="12.75">
      <c r="A818" s="24" t="s">
        <v>583</v>
      </c>
      <c r="B818" s="24" t="s">
        <v>646</v>
      </c>
      <c r="C818" s="24" t="s">
        <v>636</v>
      </c>
      <c r="D818" s="25">
        <v>90.06</v>
      </c>
      <c r="E818" s="24" t="s">
        <v>642</v>
      </c>
      <c r="F818" s="120"/>
    </row>
    <row r="819" spans="1:6" s="119" customFormat="1" ht="12.75">
      <c r="A819" s="24" t="s">
        <v>583</v>
      </c>
      <c r="B819" s="24" t="s">
        <v>645</v>
      </c>
      <c r="C819" s="24" t="s">
        <v>636</v>
      </c>
      <c r="D819" s="25">
        <v>195.615</v>
      </c>
      <c r="E819" s="24" t="s">
        <v>642</v>
      </c>
      <c r="F819" s="120"/>
    </row>
    <row r="820" spans="1:6" s="119" customFormat="1" ht="25.5">
      <c r="A820" s="24" t="s">
        <v>583</v>
      </c>
      <c r="B820" s="24" t="s">
        <v>644</v>
      </c>
      <c r="C820" s="24" t="s">
        <v>636</v>
      </c>
      <c r="D820" s="25">
        <f>190.568+326.618+258.065</f>
        <v>775.251</v>
      </c>
      <c r="E820" s="24" t="s">
        <v>642</v>
      </c>
      <c r="F820" s="120"/>
    </row>
    <row r="821" spans="1:6" s="119" customFormat="1" ht="12.75">
      <c r="A821" s="24" t="s">
        <v>583</v>
      </c>
      <c r="B821" s="24" t="s">
        <v>643</v>
      </c>
      <c r="C821" s="24" t="s">
        <v>636</v>
      </c>
      <c r="D821" s="25">
        <f>133.567+34.42</f>
        <v>167.98700000000002</v>
      </c>
      <c r="E821" s="24" t="s">
        <v>642</v>
      </c>
      <c r="F821" s="120"/>
    </row>
    <row r="822" spans="1:6" s="119" customFormat="1" ht="25.5">
      <c r="A822" s="24" t="s">
        <v>583</v>
      </c>
      <c r="B822" s="24" t="s">
        <v>641</v>
      </c>
      <c r="C822" s="24" t="s">
        <v>636</v>
      </c>
      <c r="D822" s="25">
        <f>186.552+244.806+493.17</f>
        <v>924.528</v>
      </c>
      <c r="E822" s="24" t="s">
        <v>638</v>
      </c>
      <c r="F822" s="120"/>
    </row>
    <row r="823" spans="1:6" s="119" customFormat="1" ht="25.5">
      <c r="A823" s="24" t="s">
        <v>583</v>
      </c>
      <c r="B823" s="24" t="s">
        <v>640</v>
      </c>
      <c r="C823" s="24" t="s">
        <v>636</v>
      </c>
      <c r="D823" s="25">
        <f>301.593+244.622+15.702</f>
        <v>561.917</v>
      </c>
      <c r="E823" s="24" t="s">
        <v>638</v>
      </c>
      <c r="F823" s="120"/>
    </row>
    <row r="824" spans="1:6" s="119" customFormat="1" ht="25.5">
      <c r="A824" s="24" t="s">
        <v>583</v>
      </c>
      <c r="B824" s="24" t="s">
        <v>639</v>
      </c>
      <c r="C824" s="24" t="s">
        <v>636</v>
      </c>
      <c r="D824" s="25">
        <f>694.981+308.125+287.208+420.277+313.601+100.661</f>
        <v>2124.853</v>
      </c>
      <c r="E824" s="24" t="s">
        <v>638</v>
      </c>
      <c r="F824" s="120"/>
    </row>
    <row r="825" spans="1:6" s="119" customFormat="1" ht="12.75">
      <c r="A825" s="24" t="s">
        <v>583</v>
      </c>
      <c r="B825" s="24" t="s">
        <v>637</v>
      </c>
      <c r="C825" s="24" t="s">
        <v>636</v>
      </c>
      <c r="D825" s="25">
        <v>195.285</v>
      </c>
      <c r="E825" s="24" t="s">
        <v>635</v>
      </c>
      <c r="F825" s="120"/>
    </row>
    <row r="826" spans="1:6" s="119" customFormat="1" ht="38.25">
      <c r="A826" s="24" t="s">
        <v>583</v>
      </c>
      <c r="B826" s="24" t="s">
        <v>583</v>
      </c>
      <c r="C826" s="24" t="s">
        <v>634</v>
      </c>
      <c r="D826" s="25">
        <v>447.792</v>
      </c>
      <c r="E826" s="24" t="s">
        <v>633</v>
      </c>
      <c r="F826" s="120"/>
    </row>
    <row r="827" spans="1:6" s="119" customFormat="1" ht="12.75">
      <c r="A827" s="24" t="s">
        <v>583</v>
      </c>
      <c r="B827" s="24" t="s">
        <v>583</v>
      </c>
      <c r="C827" s="24" t="s">
        <v>632</v>
      </c>
      <c r="D827" s="25">
        <v>161.95</v>
      </c>
      <c r="E827" s="24" t="s">
        <v>631</v>
      </c>
      <c r="F827" s="120"/>
    </row>
    <row r="828" spans="1:6" s="119" customFormat="1" ht="25.5">
      <c r="A828" s="24" t="s">
        <v>583</v>
      </c>
      <c r="B828" s="24" t="s">
        <v>583</v>
      </c>
      <c r="C828" s="24" t="s">
        <v>630</v>
      </c>
      <c r="D828" s="25">
        <v>1996.041</v>
      </c>
      <c r="E828" s="24" t="s">
        <v>629</v>
      </c>
      <c r="F828" s="120"/>
    </row>
    <row r="829" spans="1:6" s="119" customFormat="1" ht="12.75">
      <c r="A829" s="24" t="s">
        <v>583</v>
      </c>
      <c r="B829" s="24" t="s">
        <v>628</v>
      </c>
      <c r="C829" s="24" t="s">
        <v>627</v>
      </c>
      <c r="D829" s="25">
        <f>37.92+98.6</f>
        <v>136.51999999999998</v>
      </c>
      <c r="E829" s="24" t="s">
        <v>624</v>
      </c>
      <c r="F829" s="120"/>
    </row>
    <row r="830" spans="1:6" s="119" customFormat="1" ht="12.75">
      <c r="A830" s="24" t="s">
        <v>583</v>
      </c>
      <c r="B830" s="24" t="s">
        <v>626</v>
      </c>
      <c r="C830" s="24" t="s">
        <v>625</v>
      </c>
      <c r="D830" s="25">
        <f>37.92+98.6</f>
        <v>136.51999999999998</v>
      </c>
      <c r="E830" s="24" t="s">
        <v>624</v>
      </c>
      <c r="F830" s="120"/>
    </row>
    <row r="831" spans="1:6" s="119" customFormat="1" ht="12.75">
      <c r="A831" s="24" t="s">
        <v>583</v>
      </c>
      <c r="B831" s="24" t="s">
        <v>623</v>
      </c>
      <c r="C831" s="24" t="s">
        <v>622</v>
      </c>
      <c r="D831" s="25">
        <v>548.196</v>
      </c>
      <c r="E831" s="24" t="s">
        <v>587</v>
      </c>
      <c r="F831" s="120"/>
    </row>
    <row r="832" spans="1:6" s="119" customFormat="1" ht="25.5">
      <c r="A832" s="24" t="s">
        <v>583</v>
      </c>
      <c r="B832" s="24" t="s">
        <v>583</v>
      </c>
      <c r="C832" s="24" t="s">
        <v>621</v>
      </c>
      <c r="D832" s="25">
        <f>136.21462+18.98216+148.133+64.686+1063.784+295.776+213.211+103.752</f>
        <v>2044.5387800000003</v>
      </c>
      <c r="E832" s="24" t="s">
        <v>587</v>
      </c>
      <c r="F832" s="120"/>
    </row>
    <row r="833" spans="1:6" s="119" customFormat="1" ht="63.75">
      <c r="A833" s="24" t="s">
        <v>583</v>
      </c>
      <c r="B833" s="24" t="s">
        <v>620</v>
      </c>
      <c r="C833" s="24" t="s">
        <v>619</v>
      </c>
      <c r="D833" s="25">
        <v>44.4506</v>
      </c>
      <c r="E833" s="24" t="s">
        <v>587</v>
      </c>
      <c r="F833" s="120"/>
    </row>
    <row r="834" spans="1:6" s="119" customFormat="1" ht="51">
      <c r="A834" s="24" t="s">
        <v>583</v>
      </c>
      <c r="B834" s="24" t="s">
        <v>583</v>
      </c>
      <c r="C834" s="24" t="s">
        <v>618</v>
      </c>
      <c r="D834" s="25">
        <f>861.3398+2.38+239.758</f>
        <v>1103.4778</v>
      </c>
      <c r="E834" s="24" t="s">
        <v>587</v>
      </c>
      <c r="F834" s="120"/>
    </row>
    <row r="835" spans="1:6" s="119" customFormat="1" ht="38.25">
      <c r="A835" s="24" t="s">
        <v>583</v>
      </c>
      <c r="B835" s="24" t="s">
        <v>583</v>
      </c>
      <c r="C835" s="24" t="s">
        <v>617</v>
      </c>
      <c r="D835" s="25">
        <v>199.89389</v>
      </c>
      <c r="E835" s="24" t="s">
        <v>587</v>
      </c>
      <c r="F835" s="120"/>
    </row>
    <row r="836" spans="1:6" s="119" customFormat="1" ht="38.25">
      <c r="A836" s="24" t="s">
        <v>583</v>
      </c>
      <c r="B836" s="24" t="s">
        <v>583</v>
      </c>
      <c r="C836" s="24" t="s">
        <v>616</v>
      </c>
      <c r="D836" s="25">
        <v>199.9405</v>
      </c>
      <c r="E836" s="24" t="s">
        <v>587</v>
      </c>
      <c r="F836" s="120"/>
    </row>
    <row r="837" spans="1:6" s="119" customFormat="1" ht="51">
      <c r="A837" s="24" t="s">
        <v>583</v>
      </c>
      <c r="B837" s="24" t="s">
        <v>583</v>
      </c>
      <c r="C837" s="24" t="s">
        <v>615</v>
      </c>
      <c r="D837" s="25">
        <v>199.90476</v>
      </c>
      <c r="E837" s="24" t="s">
        <v>587</v>
      </c>
      <c r="F837" s="120"/>
    </row>
    <row r="838" spans="1:6" s="119" customFormat="1" ht="25.5">
      <c r="A838" s="24" t="s">
        <v>583</v>
      </c>
      <c r="B838" s="24" t="s">
        <v>614</v>
      </c>
      <c r="C838" s="24" t="s">
        <v>595</v>
      </c>
      <c r="D838" s="25">
        <v>120.816</v>
      </c>
      <c r="E838" s="24" t="s">
        <v>587</v>
      </c>
      <c r="F838" s="120"/>
    </row>
    <row r="839" spans="1:6" s="119" customFormat="1" ht="25.5">
      <c r="A839" s="24" t="s">
        <v>583</v>
      </c>
      <c r="B839" s="24" t="s">
        <v>613</v>
      </c>
      <c r="C839" s="24" t="s">
        <v>612</v>
      </c>
      <c r="D839" s="25">
        <v>37.763</v>
      </c>
      <c r="E839" s="24" t="s">
        <v>587</v>
      </c>
      <c r="F839" s="120"/>
    </row>
    <row r="840" spans="1:6" s="119" customFormat="1" ht="12.75">
      <c r="A840" s="24" t="s">
        <v>583</v>
      </c>
      <c r="B840" s="24" t="s">
        <v>583</v>
      </c>
      <c r="C840" s="24" t="s">
        <v>611</v>
      </c>
      <c r="D840" s="25">
        <f>92.24+106.914</f>
        <v>199.154</v>
      </c>
      <c r="E840" s="24" t="s">
        <v>587</v>
      </c>
      <c r="F840" s="120"/>
    </row>
    <row r="841" spans="1:6" s="119" customFormat="1" ht="25.5">
      <c r="A841" s="24" t="s">
        <v>583</v>
      </c>
      <c r="B841" s="24" t="s">
        <v>610</v>
      </c>
      <c r="C841" s="24" t="s">
        <v>595</v>
      </c>
      <c r="D841" s="25">
        <v>42.107</v>
      </c>
      <c r="E841" s="24" t="s">
        <v>587</v>
      </c>
      <c r="F841" s="120"/>
    </row>
    <row r="842" spans="1:6" s="119" customFormat="1" ht="25.5">
      <c r="A842" s="24" t="s">
        <v>583</v>
      </c>
      <c r="B842" s="24" t="s">
        <v>609</v>
      </c>
      <c r="C842" s="24" t="s">
        <v>595</v>
      </c>
      <c r="D842" s="25">
        <v>15.209</v>
      </c>
      <c r="E842" s="24" t="s">
        <v>587</v>
      </c>
      <c r="F842" s="120"/>
    </row>
    <row r="843" spans="1:6" s="119" customFormat="1" ht="25.5">
      <c r="A843" s="24" t="s">
        <v>583</v>
      </c>
      <c r="B843" s="24" t="s">
        <v>608</v>
      </c>
      <c r="C843" s="24" t="s">
        <v>595</v>
      </c>
      <c r="D843" s="25">
        <v>6.679</v>
      </c>
      <c r="E843" s="24" t="s">
        <v>587</v>
      </c>
      <c r="F843" s="120"/>
    </row>
    <row r="844" spans="1:6" s="119" customFormat="1" ht="25.5">
      <c r="A844" s="24" t="s">
        <v>583</v>
      </c>
      <c r="B844" s="24" t="s">
        <v>607</v>
      </c>
      <c r="C844" s="24" t="s">
        <v>595</v>
      </c>
      <c r="D844" s="25">
        <v>6.679</v>
      </c>
      <c r="E844" s="24" t="s">
        <v>587</v>
      </c>
      <c r="F844" s="120"/>
    </row>
    <row r="845" spans="1:6" s="119" customFormat="1" ht="25.5">
      <c r="A845" s="24" t="s">
        <v>583</v>
      </c>
      <c r="B845" s="24" t="s">
        <v>606</v>
      </c>
      <c r="C845" s="24" t="s">
        <v>595</v>
      </c>
      <c r="D845" s="25">
        <v>15.871</v>
      </c>
      <c r="E845" s="24" t="s">
        <v>587</v>
      </c>
      <c r="F845" s="120"/>
    </row>
    <row r="846" spans="1:6" s="119" customFormat="1" ht="25.5">
      <c r="A846" s="24" t="s">
        <v>583</v>
      </c>
      <c r="B846" s="24" t="s">
        <v>605</v>
      </c>
      <c r="C846" s="24" t="s">
        <v>595</v>
      </c>
      <c r="D846" s="25">
        <v>22.888</v>
      </c>
      <c r="E846" s="24" t="s">
        <v>587</v>
      </c>
      <c r="F846" s="120"/>
    </row>
    <row r="847" spans="1:6" s="119" customFormat="1" ht="25.5">
      <c r="A847" s="24" t="s">
        <v>583</v>
      </c>
      <c r="B847" s="24" t="s">
        <v>604</v>
      </c>
      <c r="C847" s="24" t="s">
        <v>595</v>
      </c>
      <c r="D847" s="25">
        <v>118.73</v>
      </c>
      <c r="E847" s="24" t="s">
        <v>587</v>
      </c>
      <c r="F847" s="120"/>
    </row>
    <row r="848" spans="1:6" s="119" customFormat="1" ht="25.5">
      <c r="A848" s="24" t="s">
        <v>583</v>
      </c>
      <c r="B848" s="24" t="s">
        <v>603</v>
      </c>
      <c r="C848" s="24" t="s">
        <v>595</v>
      </c>
      <c r="D848" s="25">
        <v>58.376</v>
      </c>
      <c r="E848" s="24" t="s">
        <v>587</v>
      </c>
      <c r="F848" s="120"/>
    </row>
    <row r="849" spans="1:6" s="119" customFormat="1" ht="25.5">
      <c r="A849" s="24" t="s">
        <v>583</v>
      </c>
      <c r="B849" s="24" t="s">
        <v>602</v>
      </c>
      <c r="C849" s="24" t="s">
        <v>595</v>
      </c>
      <c r="D849" s="25">
        <v>78.62</v>
      </c>
      <c r="E849" s="24" t="s">
        <v>587</v>
      </c>
      <c r="F849" s="120"/>
    </row>
    <row r="850" spans="1:6" s="119" customFormat="1" ht="25.5">
      <c r="A850" s="24" t="s">
        <v>583</v>
      </c>
      <c r="B850" s="24" t="s">
        <v>601</v>
      </c>
      <c r="C850" s="24" t="s">
        <v>595</v>
      </c>
      <c r="D850" s="25">
        <v>85.214</v>
      </c>
      <c r="E850" s="24" t="s">
        <v>587</v>
      </c>
      <c r="F850" s="120"/>
    </row>
    <row r="851" spans="1:6" s="119" customFormat="1" ht="25.5">
      <c r="A851" s="24" t="s">
        <v>583</v>
      </c>
      <c r="B851" s="24" t="s">
        <v>600</v>
      </c>
      <c r="C851" s="24" t="s">
        <v>595</v>
      </c>
      <c r="D851" s="25">
        <v>6.521</v>
      </c>
      <c r="E851" s="24" t="s">
        <v>587</v>
      </c>
      <c r="F851" s="120"/>
    </row>
    <row r="852" spans="1:6" s="119" customFormat="1" ht="25.5">
      <c r="A852" s="24" t="s">
        <v>583</v>
      </c>
      <c r="B852" s="24" t="s">
        <v>599</v>
      </c>
      <c r="C852" s="24" t="s">
        <v>595</v>
      </c>
      <c r="D852" s="25">
        <v>20.404</v>
      </c>
      <c r="E852" s="24" t="s">
        <v>587</v>
      </c>
      <c r="F852" s="120"/>
    </row>
    <row r="853" spans="1:6" s="119" customFormat="1" ht="25.5">
      <c r="A853" s="24" t="s">
        <v>583</v>
      </c>
      <c r="B853" s="24" t="s">
        <v>598</v>
      </c>
      <c r="C853" s="24" t="s">
        <v>595</v>
      </c>
      <c r="D853" s="25">
        <v>56.828</v>
      </c>
      <c r="E853" s="24" t="s">
        <v>587</v>
      </c>
      <c r="F853" s="120"/>
    </row>
    <row r="854" spans="1:6" s="119" customFormat="1" ht="25.5">
      <c r="A854" s="24" t="s">
        <v>583</v>
      </c>
      <c r="B854" s="24" t="s">
        <v>597</v>
      </c>
      <c r="C854" s="24" t="s">
        <v>595</v>
      </c>
      <c r="D854" s="25">
        <v>87.828</v>
      </c>
      <c r="E854" s="24" t="s">
        <v>587</v>
      </c>
      <c r="F854" s="120"/>
    </row>
    <row r="855" spans="1:6" s="119" customFormat="1" ht="25.5">
      <c r="A855" s="24" t="s">
        <v>583</v>
      </c>
      <c r="B855" s="24" t="s">
        <v>596</v>
      </c>
      <c r="C855" s="24" t="s">
        <v>595</v>
      </c>
      <c r="D855" s="25">
        <v>9.459</v>
      </c>
      <c r="E855" s="24" t="s">
        <v>587</v>
      </c>
      <c r="F855" s="120"/>
    </row>
    <row r="856" spans="1:6" s="119" customFormat="1" ht="38.25">
      <c r="A856" s="24" t="s">
        <v>583</v>
      </c>
      <c r="B856" s="24" t="s">
        <v>594</v>
      </c>
      <c r="C856" s="24" t="s">
        <v>593</v>
      </c>
      <c r="D856" s="25">
        <f>598.813+2328.558+584.706+697.851+657.905+350.681+510.676+268.816+8.3+78.718+41.125+39.646+288.024+382.738+85.247+49.842+189.199+298.442+25.145+25.145+25.37+48.831+304.482+398.795+126.463+139.025+85.426+35.773+47.318</f>
        <v>8721.059999999998</v>
      </c>
      <c r="E856" s="24" t="s">
        <v>587</v>
      </c>
      <c r="F856" s="120"/>
    </row>
    <row r="857" spans="1:6" s="119" customFormat="1" ht="63.75">
      <c r="A857" s="24" t="s">
        <v>583</v>
      </c>
      <c r="B857" s="24" t="s">
        <v>592</v>
      </c>
      <c r="C857" s="24" t="s">
        <v>591</v>
      </c>
      <c r="D857" s="25">
        <v>117.843</v>
      </c>
      <c r="E857" s="24" t="s">
        <v>587</v>
      </c>
      <c r="F857" s="120"/>
    </row>
    <row r="858" spans="1:6" s="119" customFormat="1" ht="38.25">
      <c r="A858" s="24" t="s">
        <v>583</v>
      </c>
      <c r="B858" s="24" t="s">
        <v>583</v>
      </c>
      <c r="C858" s="24" t="s">
        <v>590</v>
      </c>
      <c r="D858" s="25">
        <f>198.963+127.717+71.438</f>
        <v>398.118</v>
      </c>
      <c r="E858" s="24" t="s">
        <v>587</v>
      </c>
      <c r="F858" s="120"/>
    </row>
    <row r="859" spans="1:6" s="119" customFormat="1" ht="89.25">
      <c r="A859" s="24" t="s">
        <v>583</v>
      </c>
      <c r="B859" s="24" t="s">
        <v>583</v>
      </c>
      <c r="C859" s="24" t="s">
        <v>589</v>
      </c>
      <c r="D859" s="25">
        <f>199.945+0.47+104.801+90.563+0.564</f>
        <v>396.343</v>
      </c>
      <c r="E859" s="24" t="s">
        <v>587</v>
      </c>
      <c r="F859" s="120"/>
    </row>
    <row r="860" spans="1:6" s="119" customFormat="1" ht="38.25">
      <c r="A860" s="24" t="s">
        <v>583</v>
      </c>
      <c r="B860" s="24" t="s">
        <v>583</v>
      </c>
      <c r="C860" s="24" t="s">
        <v>588</v>
      </c>
      <c r="D860" s="25">
        <f>233.90123+45.796+25.536</f>
        <v>305.23323</v>
      </c>
      <c r="E860" s="24" t="s">
        <v>587</v>
      </c>
      <c r="F860" s="120"/>
    </row>
    <row r="861" spans="1:6" s="119" customFormat="1" ht="38.25">
      <c r="A861" s="24" t="s">
        <v>583</v>
      </c>
      <c r="B861" s="24" t="s">
        <v>586</v>
      </c>
      <c r="C861" s="24" t="s">
        <v>585</v>
      </c>
      <c r="D861" s="25">
        <v>196.288</v>
      </c>
      <c r="E861" s="130" t="s">
        <v>584</v>
      </c>
      <c r="F861" s="120"/>
    </row>
    <row r="862" spans="1:6" s="119" customFormat="1" ht="25.5">
      <c r="A862" s="129" t="s">
        <v>208</v>
      </c>
      <c r="B862" s="24" t="s">
        <v>561</v>
      </c>
      <c r="C862" s="24" t="s">
        <v>560</v>
      </c>
      <c r="D862" s="25">
        <v>286.02</v>
      </c>
      <c r="E862" s="24"/>
      <c r="F862" s="120"/>
    </row>
    <row r="863" spans="1:6" s="119" customFormat="1" ht="12.75">
      <c r="A863" s="124" t="s">
        <v>559</v>
      </c>
      <c r="B863" s="127"/>
      <c r="C863" s="127"/>
      <c r="D863" s="128">
        <f>SUM(D706:D862)</f>
        <v>79824.45771999998</v>
      </c>
      <c r="E863" s="127"/>
      <c r="F863" s="120"/>
    </row>
    <row r="864" spans="1:6" s="119" customFormat="1" ht="12.75">
      <c r="A864" s="116"/>
      <c r="B864" s="124">
        <v>1217461</v>
      </c>
      <c r="C864" s="116"/>
      <c r="D864" s="126"/>
      <c r="E864" s="116"/>
      <c r="F864" s="120"/>
    </row>
    <row r="865" spans="1:6" s="119" customFormat="1" ht="25.5">
      <c r="A865" s="24" t="s">
        <v>583</v>
      </c>
      <c r="B865" s="24" t="s">
        <v>583</v>
      </c>
      <c r="C865" s="35" t="s">
        <v>582</v>
      </c>
      <c r="D865" s="71">
        <v>20345.349</v>
      </c>
      <c r="E865" s="35" t="s">
        <v>581</v>
      </c>
      <c r="F865" s="120"/>
    </row>
    <row r="866" spans="1:6" s="119" customFormat="1" ht="25.5">
      <c r="A866" s="35" t="s">
        <v>580</v>
      </c>
      <c r="B866" s="35" t="s">
        <v>579</v>
      </c>
      <c r="C866" s="35" t="s">
        <v>572</v>
      </c>
      <c r="D866" s="71">
        <v>174.263</v>
      </c>
      <c r="E866" s="35" t="s">
        <v>574</v>
      </c>
      <c r="F866" s="120"/>
    </row>
    <row r="867" spans="1:6" s="119" customFormat="1" ht="25.5">
      <c r="A867" s="35"/>
      <c r="B867" s="35" t="s">
        <v>578</v>
      </c>
      <c r="C867" s="35" t="s">
        <v>572</v>
      </c>
      <c r="D867" s="71">
        <v>80.539</v>
      </c>
      <c r="E867" s="35" t="s">
        <v>562</v>
      </c>
      <c r="F867" s="120"/>
    </row>
    <row r="868" spans="1:6" s="119" customFormat="1" ht="12.75">
      <c r="A868" s="35"/>
      <c r="B868" s="35" t="s">
        <v>577</v>
      </c>
      <c r="C868" s="35" t="s">
        <v>568</v>
      </c>
      <c r="D868" s="71">
        <f>1209.931+36.857</f>
        <v>1246.788</v>
      </c>
      <c r="E868" s="35" t="s">
        <v>562</v>
      </c>
      <c r="F868" s="120"/>
    </row>
    <row r="869" spans="1:6" s="119" customFormat="1" ht="25.5">
      <c r="A869" s="35"/>
      <c r="B869" s="35" t="s">
        <v>576</v>
      </c>
      <c r="C869" s="35" t="s">
        <v>572</v>
      </c>
      <c r="D869" s="71">
        <v>198.033</v>
      </c>
      <c r="E869" s="35" t="s">
        <v>562</v>
      </c>
      <c r="F869" s="120"/>
    </row>
    <row r="870" spans="1:6" s="119" customFormat="1" ht="25.5">
      <c r="A870" s="35"/>
      <c r="B870" s="35" t="s">
        <v>575</v>
      </c>
      <c r="C870" s="35" t="s">
        <v>572</v>
      </c>
      <c r="D870" s="71">
        <v>192.858</v>
      </c>
      <c r="E870" s="35" t="s">
        <v>574</v>
      </c>
      <c r="F870" s="120"/>
    </row>
    <row r="871" spans="1:6" s="119" customFormat="1" ht="25.5">
      <c r="A871" s="35"/>
      <c r="B871" s="35" t="s">
        <v>573</v>
      </c>
      <c r="C871" s="35" t="s">
        <v>572</v>
      </c>
      <c r="D871" s="71">
        <v>185.541</v>
      </c>
      <c r="E871" s="35" t="s">
        <v>562</v>
      </c>
      <c r="F871" s="120"/>
    </row>
    <row r="872" spans="1:6" s="119" customFormat="1" ht="12.75">
      <c r="A872" s="35"/>
      <c r="B872" s="35" t="s">
        <v>571</v>
      </c>
      <c r="C872" s="35" t="s">
        <v>568</v>
      </c>
      <c r="D872" s="71">
        <f>3039.938+101.175</f>
        <v>3141.1130000000003</v>
      </c>
      <c r="E872" s="35" t="s">
        <v>570</v>
      </c>
      <c r="F872" s="120"/>
    </row>
    <row r="873" spans="1:6" s="119" customFormat="1" ht="12.75">
      <c r="A873" s="35"/>
      <c r="B873" s="35" t="s">
        <v>569</v>
      </c>
      <c r="C873" s="35" t="s">
        <v>568</v>
      </c>
      <c r="D873" s="71">
        <f>4244.683+5399.112</f>
        <v>9643.795</v>
      </c>
      <c r="E873" s="35" t="s">
        <v>567</v>
      </c>
      <c r="F873" s="120"/>
    </row>
    <row r="874" spans="1:6" s="119" customFormat="1" ht="25.5">
      <c r="A874" s="35"/>
      <c r="B874" s="35" t="s">
        <v>566</v>
      </c>
      <c r="C874" s="71" t="s">
        <v>565</v>
      </c>
      <c r="D874" s="71">
        <v>36.7</v>
      </c>
      <c r="E874" s="35" t="s">
        <v>562</v>
      </c>
      <c r="F874" s="120"/>
    </row>
    <row r="875" spans="1:6" s="119" customFormat="1" ht="25.5">
      <c r="A875" s="35"/>
      <c r="B875" s="35" t="s">
        <v>564</v>
      </c>
      <c r="C875" s="35" t="s">
        <v>563</v>
      </c>
      <c r="D875" s="71">
        <v>167.258</v>
      </c>
      <c r="E875" s="35" t="s">
        <v>562</v>
      </c>
      <c r="F875" s="120"/>
    </row>
    <row r="876" spans="1:6" s="119" customFormat="1" ht="25.5">
      <c r="A876" s="24" t="s">
        <v>208</v>
      </c>
      <c r="B876" s="24" t="s">
        <v>561</v>
      </c>
      <c r="C876" s="24" t="s">
        <v>560</v>
      </c>
      <c r="D876" s="71">
        <f>161.031+289.938</f>
        <v>450.969</v>
      </c>
      <c r="E876" s="125"/>
      <c r="F876" s="120"/>
    </row>
    <row r="877" spans="1:6" s="119" customFormat="1" ht="12.75">
      <c r="A877" s="124" t="s">
        <v>559</v>
      </c>
      <c r="B877" s="116"/>
      <c r="C877" s="116"/>
      <c r="D877" s="123">
        <f>SUM(D865:D876)</f>
        <v>35863.206</v>
      </c>
      <c r="E877" s="116"/>
      <c r="F877" s="120"/>
    </row>
    <row r="878" spans="1:6" s="119" customFormat="1" ht="3" customHeight="1">
      <c r="A878" s="121"/>
      <c r="B878" s="121"/>
      <c r="C878" s="121"/>
      <c r="D878" s="122"/>
      <c r="E878" s="121"/>
      <c r="F878" s="120"/>
    </row>
    <row r="879" spans="1:5" ht="15">
      <c r="A879" s="49"/>
      <c r="B879" s="100" t="s">
        <v>1</v>
      </c>
      <c r="C879" s="117" t="s">
        <v>0</v>
      </c>
      <c r="D879" s="118">
        <f>D689+D704+D863+D877</f>
        <v>182483.20340999996</v>
      </c>
      <c r="E879" s="117" t="s">
        <v>0</v>
      </c>
    </row>
    <row r="880" spans="1:5" s="108" customFormat="1" ht="15">
      <c r="A880" s="107" t="s">
        <v>558</v>
      </c>
      <c r="B880" s="107"/>
      <c r="C880" s="107"/>
      <c r="D880" s="107"/>
      <c r="E880" s="106"/>
    </row>
    <row r="881" spans="1:5" s="108" customFormat="1" ht="15">
      <c r="A881" s="105"/>
      <c r="B881" s="105"/>
      <c r="C881" s="105"/>
      <c r="D881" s="105"/>
      <c r="E881" s="104"/>
    </row>
    <row r="882" spans="1:7" s="108" customFormat="1" ht="15">
      <c r="A882" s="103"/>
      <c r="B882" s="100" t="s">
        <v>1</v>
      </c>
      <c r="C882" s="102" t="s">
        <v>0</v>
      </c>
      <c r="D882" s="101">
        <v>0</v>
      </c>
      <c r="E882" s="100" t="s">
        <v>0</v>
      </c>
      <c r="G882" s="2"/>
    </row>
    <row r="883" spans="1:5" s="108" customFormat="1" ht="15">
      <c r="A883" s="107" t="s">
        <v>557</v>
      </c>
      <c r="B883" s="107"/>
      <c r="C883" s="107"/>
      <c r="D883" s="107"/>
      <c r="E883" s="106"/>
    </row>
    <row r="884" spans="1:5" s="108" customFormat="1" ht="15">
      <c r="A884" s="105"/>
      <c r="B884" s="105"/>
      <c r="C884" s="105"/>
      <c r="D884" s="105"/>
      <c r="E884" s="104"/>
    </row>
    <row r="885" spans="1:5" s="108" customFormat="1" ht="15">
      <c r="A885" s="103"/>
      <c r="B885" s="100" t="s">
        <v>1</v>
      </c>
      <c r="C885" s="102" t="s">
        <v>0</v>
      </c>
      <c r="D885" s="101">
        <v>0</v>
      </c>
      <c r="E885" s="100" t="s">
        <v>0</v>
      </c>
    </row>
    <row r="886" spans="1:5" s="108" customFormat="1" ht="15">
      <c r="A886" s="107" t="s">
        <v>556</v>
      </c>
      <c r="B886" s="107"/>
      <c r="C886" s="107"/>
      <c r="D886" s="107"/>
      <c r="E886" s="106"/>
    </row>
    <row r="887" spans="1:5" s="108" customFormat="1" ht="15">
      <c r="A887" s="105"/>
      <c r="B887" s="105"/>
      <c r="C887" s="105"/>
      <c r="D887" s="105"/>
      <c r="E887" s="104"/>
    </row>
    <row r="888" spans="1:5" s="108" customFormat="1" ht="15">
      <c r="A888" s="103"/>
      <c r="B888" s="100" t="s">
        <v>1</v>
      </c>
      <c r="C888" s="102" t="s">
        <v>0</v>
      </c>
      <c r="D888" s="101">
        <v>0</v>
      </c>
      <c r="E888" s="100" t="s">
        <v>0</v>
      </c>
    </row>
    <row r="889" spans="1:5" s="108" customFormat="1" ht="15">
      <c r="A889" s="107" t="s">
        <v>555</v>
      </c>
      <c r="B889" s="107"/>
      <c r="C889" s="107"/>
      <c r="D889" s="107"/>
      <c r="E889" s="106"/>
    </row>
    <row r="890" spans="1:6" ht="38.25">
      <c r="A890" s="116" t="s">
        <v>554</v>
      </c>
      <c r="B890" s="116" t="s">
        <v>553</v>
      </c>
      <c r="C890" s="115" t="s">
        <v>552</v>
      </c>
      <c r="D890" s="115">
        <v>162.33601</v>
      </c>
      <c r="E890" s="115" t="s">
        <v>551</v>
      </c>
      <c r="F890" s="1"/>
    </row>
    <row r="891" spans="1:6" ht="15">
      <c r="A891" s="114"/>
      <c r="B891" s="114" t="s">
        <v>1</v>
      </c>
      <c r="C891" s="102" t="s">
        <v>0</v>
      </c>
      <c r="D891" s="113">
        <f>SUM(D890:D890)</f>
        <v>162.33601</v>
      </c>
      <c r="E891" s="113" t="s">
        <v>0</v>
      </c>
      <c r="F891" s="1"/>
    </row>
    <row r="892" spans="1:5" s="108" customFormat="1" ht="15">
      <c r="A892" s="107" t="s">
        <v>550</v>
      </c>
      <c r="B892" s="107"/>
      <c r="C892" s="107"/>
      <c r="D892" s="107"/>
      <c r="E892" s="106"/>
    </row>
    <row r="893" spans="1:5" s="108" customFormat="1" ht="15">
      <c r="A893" s="112" t="s">
        <v>549</v>
      </c>
      <c r="B893" s="112" t="s">
        <v>546</v>
      </c>
      <c r="C893" s="111" t="s">
        <v>548</v>
      </c>
      <c r="D893" s="111">
        <v>9.717</v>
      </c>
      <c r="E893" s="111" t="s">
        <v>544</v>
      </c>
    </row>
    <row r="894" spans="1:5" s="108" customFormat="1" ht="127.5">
      <c r="A894" s="112" t="s">
        <v>547</v>
      </c>
      <c r="B894" s="112" t="s">
        <v>546</v>
      </c>
      <c r="C894" s="111" t="s">
        <v>545</v>
      </c>
      <c r="D894" s="111">
        <v>90.68</v>
      </c>
      <c r="E894" s="111" t="s">
        <v>544</v>
      </c>
    </row>
    <row r="895" spans="1:5" s="108" customFormat="1" ht="25.5">
      <c r="A895" s="112" t="s">
        <v>543</v>
      </c>
      <c r="B895" s="112" t="s">
        <v>542</v>
      </c>
      <c r="C895" s="111" t="s">
        <v>541</v>
      </c>
      <c r="D895" s="111">
        <v>8</v>
      </c>
      <c r="E895" s="111" t="s">
        <v>540</v>
      </c>
    </row>
    <row r="896" spans="1:5" s="108" customFormat="1" ht="15">
      <c r="A896" s="110"/>
      <c r="B896" s="110" t="s">
        <v>1</v>
      </c>
      <c r="C896" s="109" t="s">
        <v>0</v>
      </c>
      <c r="D896" s="109">
        <f>SUM(D893:D895)</f>
        <v>108.397</v>
      </c>
      <c r="E896" s="109" t="s">
        <v>0</v>
      </c>
    </row>
    <row r="897" spans="1:5" s="108" customFormat="1" ht="15">
      <c r="A897" s="107" t="s">
        <v>539</v>
      </c>
      <c r="B897" s="107"/>
      <c r="C897" s="107"/>
      <c r="D897" s="107"/>
      <c r="E897" s="106"/>
    </row>
    <row r="898" spans="1:5" s="108" customFormat="1" ht="15">
      <c r="A898" s="105"/>
      <c r="B898" s="105"/>
      <c r="C898" s="105"/>
      <c r="D898" s="105"/>
      <c r="E898" s="104"/>
    </row>
    <row r="899" spans="1:5" s="2" customFormat="1" ht="15">
      <c r="A899" s="103"/>
      <c r="B899" s="100" t="s">
        <v>1</v>
      </c>
      <c r="C899" s="102" t="s">
        <v>0</v>
      </c>
      <c r="D899" s="101">
        <v>0</v>
      </c>
      <c r="E899" s="100" t="s">
        <v>0</v>
      </c>
    </row>
    <row r="900" spans="1:5" s="2" customFormat="1" ht="15">
      <c r="A900" s="107" t="s">
        <v>538</v>
      </c>
      <c r="B900" s="107"/>
      <c r="C900" s="107"/>
      <c r="D900" s="107"/>
      <c r="E900" s="106"/>
    </row>
    <row r="901" spans="1:5" s="2" customFormat="1" ht="15">
      <c r="A901" s="105"/>
      <c r="B901" s="105"/>
      <c r="C901" s="105"/>
      <c r="D901" s="105"/>
      <c r="E901" s="104"/>
    </row>
    <row r="902" spans="1:5" s="2" customFormat="1" ht="15">
      <c r="A902" s="103"/>
      <c r="B902" s="100" t="s">
        <v>1</v>
      </c>
      <c r="C902" s="102" t="s">
        <v>0</v>
      </c>
      <c r="D902" s="101">
        <v>0</v>
      </c>
      <c r="E902" s="100" t="s">
        <v>0</v>
      </c>
    </row>
    <row r="903" spans="1:5" s="2" customFormat="1" ht="15">
      <c r="A903" s="107" t="s">
        <v>537</v>
      </c>
      <c r="B903" s="107"/>
      <c r="C903" s="107"/>
      <c r="D903" s="107"/>
      <c r="E903" s="106"/>
    </row>
    <row r="904" spans="1:5" s="2" customFormat="1" ht="15">
      <c r="A904" s="105"/>
      <c r="B904" s="105"/>
      <c r="C904" s="105"/>
      <c r="D904" s="105"/>
      <c r="E904" s="104"/>
    </row>
    <row r="905" spans="1:5" s="2" customFormat="1" ht="15">
      <c r="A905" s="103"/>
      <c r="B905" s="100" t="s">
        <v>1</v>
      </c>
      <c r="C905" s="102" t="s">
        <v>0</v>
      </c>
      <c r="D905" s="101">
        <v>0</v>
      </c>
      <c r="E905" s="100" t="s">
        <v>0</v>
      </c>
    </row>
    <row r="906" spans="1:5" s="1" customFormat="1" ht="15">
      <c r="A906" s="107" t="s">
        <v>536</v>
      </c>
      <c r="B906" s="107"/>
      <c r="C906" s="107"/>
      <c r="D906" s="107"/>
      <c r="E906" s="106"/>
    </row>
    <row r="907" spans="1:5" s="1" customFormat="1" ht="15">
      <c r="A907" s="105"/>
      <c r="B907" s="105"/>
      <c r="C907" s="105"/>
      <c r="D907" s="105"/>
      <c r="E907" s="104"/>
    </row>
    <row r="908" spans="1:5" s="1" customFormat="1" ht="15">
      <c r="A908" s="103"/>
      <c r="B908" s="100" t="s">
        <v>1</v>
      </c>
      <c r="C908" s="102" t="s">
        <v>0</v>
      </c>
      <c r="D908" s="101">
        <v>0</v>
      </c>
      <c r="E908" s="100" t="s">
        <v>0</v>
      </c>
    </row>
    <row r="909" spans="1:5" s="2" customFormat="1" ht="15">
      <c r="A909" s="107" t="s">
        <v>535</v>
      </c>
      <c r="B909" s="107"/>
      <c r="C909" s="107"/>
      <c r="D909" s="107"/>
      <c r="E909" s="106"/>
    </row>
    <row r="910" spans="1:5" s="2" customFormat="1" ht="15">
      <c r="A910" s="105"/>
      <c r="B910" s="105"/>
      <c r="C910" s="105"/>
      <c r="D910" s="105"/>
      <c r="E910" s="104"/>
    </row>
    <row r="911" spans="1:5" s="2" customFormat="1" ht="15">
      <c r="A911" s="103"/>
      <c r="B911" s="100" t="s">
        <v>1</v>
      </c>
      <c r="C911" s="102" t="s">
        <v>0</v>
      </c>
      <c r="D911" s="101">
        <v>0</v>
      </c>
      <c r="E911" s="100" t="s">
        <v>0</v>
      </c>
    </row>
    <row r="912" spans="1:5" s="2" customFormat="1" ht="15">
      <c r="A912" s="99" t="s">
        <v>534</v>
      </c>
      <c r="B912" s="99"/>
      <c r="C912" s="99"/>
      <c r="D912" s="99"/>
      <c r="E912" s="99"/>
    </row>
    <row r="913" spans="1:5" s="1" customFormat="1" ht="38.25">
      <c r="A913" s="61" t="s">
        <v>533</v>
      </c>
      <c r="B913" s="61" t="s">
        <v>532</v>
      </c>
      <c r="C913" s="61" t="s">
        <v>419</v>
      </c>
      <c r="D913" s="61">
        <v>179.726</v>
      </c>
      <c r="E913" s="61" t="s">
        <v>531</v>
      </c>
    </row>
    <row r="914" spans="1:5" s="1" customFormat="1" ht="15">
      <c r="A914" s="86" t="s">
        <v>530</v>
      </c>
      <c r="B914" s="86" t="s">
        <v>529</v>
      </c>
      <c r="C914" s="61" t="s">
        <v>419</v>
      </c>
      <c r="D914" s="30">
        <v>196.467</v>
      </c>
      <c r="E914" s="61" t="s">
        <v>448</v>
      </c>
    </row>
    <row r="915" spans="1:5" s="1" customFormat="1" ht="25.5">
      <c r="A915" s="98"/>
      <c r="B915" s="85"/>
      <c r="C915" s="61" t="s">
        <v>452</v>
      </c>
      <c r="D915" s="30">
        <v>2.792</v>
      </c>
      <c r="E915" s="61" t="s">
        <v>451</v>
      </c>
    </row>
    <row r="916" spans="1:5" s="1" customFormat="1" ht="38.25">
      <c r="A916" s="83" t="s">
        <v>528</v>
      </c>
      <c r="B916" s="83" t="s">
        <v>527</v>
      </c>
      <c r="C916" s="61" t="s">
        <v>419</v>
      </c>
      <c r="D916" s="30">
        <v>9.734</v>
      </c>
      <c r="E916" s="61" t="s">
        <v>524</v>
      </c>
    </row>
    <row r="917" spans="1:5" s="1" customFormat="1" ht="15">
      <c r="A917" s="86" t="s">
        <v>526</v>
      </c>
      <c r="B917" s="86" t="s">
        <v>525</v>
      </c>
      <c r="C917" s="61" t="s">
        <v>419</v>
      </c>
      <c r="D917" s="30">
        <v>29.558</v>
      </c>
      <c r="E917" s="61" t="s">
        <v>524</v>
      </c>
    </row>
    <row r="918" spans="1:5" s="1" customFormat="1" ht="44.25" customHeight="1">
      <c r="A918" s="98"/>
      <c r="B918" s="98"/>
      <c r="C918" s="61" t="s">
        <v>452</v>
      </c>
      <c r="D918" s="30">
        <v>0.436</v>
      </c>
      <c r="E918" s="61" t="s">
        <v>451</v>
      </c>
    </row>
    <row r="919" spans="1:5" s="1" customFormat="1" ht="15">
      <c r="A919" s="86" t="s">
        <v>523</v>
      </c>
      <c r="B919" s="86" t="s">
        <v>522</v>
      </c>
      <c r="C919" s="61" t="s">
        <v>419</v>
      </c>
      <c r="D919" s="30">
        <v>98.528</v>
      </c>
      <c r="E919" s="61" t="s">
        <v>448</v>
      </c>
    </row>
    <row r="920" spans="1:5" s="1" customFormat="1" ht="25.5">
      <c r="A920" s="98"/>
      <c r="B920" s="98"/>
      <c r="C920" s="61" t="s">
        <v>452</v>
      </c>
      <c r="D920" s="30">
        <v>1.457</v>
      </c>
      <c r="E920" s="61" t="s">
        <v>451</v>
      </c>
    </row>
    <row r="921" spans="1:5" s="1" customFormat="1" ht="15">
      <c r="A921" s="86" t="s">
        <v>521</v>
      </c>
      <c r="B921" s="86" t="s">
        <v>520</v>
      </c>
      <c r="C921" s="61" t="s">
        <v>419</v>
      </c>
      <c r="D921" s="30">
        <v>157.694</v>
      </c>
      <c r="E921" s="61" t="s">
        <v>418</v>
      </c>
    </row>
    <row r="922" spans="1:5" s="1" customFormat="1" ht="33.75" customHeight="1">
      <c r="A922" s="98"/>
      <c r="B922" s="98"/>
      <c r="C922" s="61" t="s">
        <v>452</v>
      </c>
      <c r="D922" s="30">
        <v>2.296</v>
      </c>
      <c r="E922" s="61" t="s">
        <v>451</v>
      </c>
    </row>
    <row r="923" spans="1:5" s="1" customFormat="1" ht="15">
      <c r="A923" s="82" t="s">
        <v>519</v>
      </c>
      <c r="B923" s="81"/>
      <c r="C923" s="61"/>
      <c r="D923" s="30">
        <f>SUM(D914:D922)</f>
        <v>498.96200000000005</v>
      </c>
      <c r="E923" s="61"/>
    </row>
    <row r="924" spans="1:5" s="1" customFormat="1" ht="38.25">
      <c r="A924" s="83" t="s">
        <v>518</v>
      </c>
      <c r="B924" s="83" t="s">
        <v>517</v>
      </c>
      <c r="C924" s="83" t="s">
        <v>419</v>
      </c>
      <c r="D924" s="61">
        <v>703.498</v>
      </c>
      <c r="E924" s="61" t="s">
        <v>508</v>
      </c>
    </row>
    <row r="925" spans="1:5" s="1" customFormat="1" ht="38.25">
      <c r="A925" s="83" t="s">
        <v>516</v>
      </c>
      <c r="B925" s="83" t="s">
        <v>515</v>
      </c>
      <c r="C925" s="83" t="s">
        <v>419</v>
      </c>
      <c r="D925" s="61">
        <v>455.333</v>
      </c>
      <c r="E925" s="61" t="s">
        <v>508</v>
      </c>
    </row>
    <row r="926" spans="1:5" s="1" customFormat="1" ht="38.25">
      <c r="A926" s="83" t="s">
        <v>514</v>
      </c>
      <c r="B926" s="83" t="s">
        <v>513</v>
      </c>
      <c r="C926" s="83" t="s">
        <v>419</v>
      </c>
      <c r="D926" s="61">
        <v>1067.985</v>
      </c>
      <c r="E926" s="61" t="s">
        <v>508</v>
      </c>
    </row>
    <row r="927" spans="1:5" s="1" customFormat="1" ht="38.25">
      <c r="A927" s="83" t="s">
        <v>512</v>
      </c>
      <c r="B927" s="83" t="s">
        <v>511</v>
      </c>
      <c r="C927" s="83" t="s">
        <v>419</v>
      </c>
      <c r="D927" s="97">
        <v>395.2</v>
      </c>
      <c r="E927" s="61" t="s">
        <v>508</v>
      </c>
    </row>
    <row r="928" spans="1:5" s="1" customFormat="1" ht="73.5" customHeight="1">
      <c r="A928" s="83" t="s">
        <v>510</v>
      </c>
      <c r="B928" s="83" t="s">
        <v>509</v>
      </c>
      <c r="C928" s="83" t="s">
        <v>419</v>
      </c>
      <c r="D928" s="61">
        <v>980.067</v>
      </c>
      <c r="E928" s="61" t="s">
        <v>508</v>
      </c>
    </row>
    <row r="929" spans="1:5" s="1" customFormat="1" ht="25.5">
      <c r="A929" s="83" t="s">
        <v>452</v>
      </c>
      <c r="B929" s="83" t="s">
        <v>507</v>
      </c>
      <c r="C929" s="83" t="s">
        <v>452</v>
      </c>
      <c r="D929" s="61">
        <v>19.206</v>
      </c>
      <c r="E929" s="61" t="s">
        <v>492</v>
      </c>
    </row>
    <row r="930" spans="1:5" s="1" customFormat="1" ht="38.25">
      <c r="A930" s="83" t="s">
        <v>506</v>
      </c>
      <c r="B930" s="83" t="s">
        <v>505</v>
      </c>
      <c r="C930" s="83" t="s">
        <v>419</v>
      </c>
      <c r="D930" s="61">
        <v>308.051</v>
      </c>
      <c r="E930" s="61" t="s">
        <v>494</v>
      </c>
    </row>
    <row r="931" spans="1:5" s="1" customFormat="1" ht="38.25">
      <c r="A931" s="83" t="s">
        <v>504</v>
      </c>
      <c r="B931" s="83" t="s">
        <v>503</v>
      </c>
      <c r="C931" s="83" t="s">
        <v>419</v>
      </c>
      <c r="D931" s="61">
        <v>311.687</v>
      </c>
      <c r="E931" s="61" t="s">
        <v>494</v>
      </c>
    </row>
    <row r="932" spans="1:5" s="1" customFormat="1" ht="38.25">
      <c r="A932" s="83" t="s">
        <v>502</v>
      </c>
      <c r="B932" s="83" t="s">
        <v>501</v>
      </c>
      <c r="C932" s="83" t="s">
        <v>419</v>
      </c>
      <c r="D932" s="61">
        <v>277.324</v>
      </c>
      <c r="E932" s="61" t="s">
        <v>494</v>
      </c>
    </row>
    <row r="933" spans="1:5" s="1" customFormat="1" ht="38.25">
      <c r="A933" s="83" t="s">
        <v>500</v>
      </c>
      <c r="B933" s="83" t="s">
        <v>499</v>
      </c>
      <c r="C933" s="83" t="s">
        <v>419</v>
      </c>
      <c r="D933" s="61">
        <v>120.614</v>
      </c>
      <c r="E933" s="61" t="s">
        <v>494</v>
      </c>
    </row>
    <row r="934" spans="1:5" s="1" customFormat="1" ht="38.25">
      <c r="A934" s="83" t="s">
        <v>498</v>
      </c>
      <c r="B934" s="83" t="s">
        <v>497</v>
      </c>
      <c r="C934" s="83" t="s">
        <v>419</v>
      </c>
      <c r="D934" s="61">
        <v>195.049</v>
      </c>
      <c r="E934" s="61" t="s">
        <v>494</v>
      </c>
    </row>
    <row r="935" spans="1:5" s="1" customFormat="1" ht="38.25">
      <c r="A935" s="83" t="s">
        <v>496</v>
      </c>
      <c r="B935" s="83" t="s">
        <v>495</v>
      </c>
      <c r="C935" s="83" t="s">
        <v>419</v>
      </c>
      <c r="D935" s="61">
        <v>266.316</v>
      </c>
      <c r="E935" s="61" t="s">
        <v>494</v>
      </c>
    </row>
    <row r="936" spans="1:5" s="1" customFormat="1" ht="38.25">
      <c r="A936" s="83" t="s">
        <v>493</v>
      </c>
      <c r="B936" s="83" t="s">
        <v>493</v>
      </c>
      <c r="C936" s="83" t="s">
        <v>419</v>
      </c>
      <c r="D936" s="61">
        <v>46.693</v>
      </c>
      <c r="E936" s="83" t="s">
        <v>492</v>
      </c>
    </row>
    <row r="937" spans="1:5" s="1" customFormat="1" ht="51">
      <c r="A937" s="83" t="s">
        <v>491</v>
      </c>
      <c r="B937" s="83" t="s">
        <v>490</v>
      </c>
      <c r="C937" s="83" t="s">
        <v>489</v>
      </c>
      <c r="D937" s="97">
        <v>52.9</v>
      </c>
      <c r="E937" s="61" t="s">
        <v>466</v>
      </c>
    </row>
    <row r="938" spans="1:5" s="1" customFormat="1" ht="15">
      <c r="A938" s="88" t="s">
        <v>488</v>
      </c>
      <c r="B938" s="87"/>
      <c r="C938" s="61"/>
      <c r="D938" s="30">
        <f>SUM(D924:D937)</f>
        <v>5199.922999999999</v>
      </c>
      <c r="E938" s="56"/>
    </row>
    <row r="939" spans="1:5" s="1" customFormat="1" ht="51">
      <c r="A939" s="61" t="s">
        <v>487</v>
      </c>
      <c r="B939" s="61" t="s">
        <v>486</v>
      </c>
      <c r="C939" s="83" t="s">
        <v>419</v>
      </c>
      <c r="D939" s="30">
        <v>104.2</v>
      </c>
      <c r="E939" s="61" t="s">
        <v>485</v>
      </c>
    </row>
    <row r="940" spans="1:5" s="1" customFormat="1" ht="51">
      <c r="A940" s="61" t="s">
        <v>484</v>
      </c>
      <c r="B940" s="61" t="s">
        <v>483</v>
      </c>
      <c r="C940" s="83" t="s">
        <v>419</v>
      </c>
      <c r="D940" s="30">
        <v>34.058</v>
      </c>
      <c r="E940" s="61" t="s">
        <v>475</v>
      </c>
    </row>
    <row r="941" spans="1:5" s="1" customFormat="1" ht="25.5">
      <c r="A941" s="61" t="s">
        <v>482</v>
      </c>
      <c r="B941" s="61" t="s">
        <v>482</v>
      </c>
      <c r="C941" s="83" t="s">
        <v>482</v>
      </c>
      <c r="D941" s="30">
        <v>3.4</v>
      </c>
      <c r="E941" s="61" t="s">
        <v>480</v>
      </c>
    </row>
    <row r="942" spans="1:5" s="1" customFormat="1" ht="25.5">
      <c r="A942" s="61" t="s">
        <v>481</v>
      </c>
      <c r="B942" s="61" t="s">
        <v>481</v>
      </c>
      <c r="C942" s="61" t="s">
        <v>481</v>
      </c>
      <c r="D942" s="30">
        <v>17.86</v>
      </c>
      <c r="E942" s="61" t="s">
        <v>480</v>
      </c>
    </row>
    <row r="943" spans="1:5" s="1" customFormat="1" ht="63.75">
      <c r="A943" s="61" t="s">
        <v>479</v>
      </c>
      <c r="B943" s="61" t="s">
        <v>478</v>
      </c>
      <c r="C943" s="83" t="s">
        <v>419</v>
      </c>
      <c r="D943" s="30">
        <v>133.466</v>
      </c>
      <c r="E943" s="61" t="s">
        <v>475</v>
      </c>
    </row>
    <row r="944" spans="1:5" s="1" customFormat="1" ht="15" customHeight="1">
      <c r="A944" s="86" t="s">
        <v>477</v>
      </c>
      <c r="B944" s="86" t="s">
        <v>476</v>
      </c>
      <c r="C944" s="83" t="s">
        <v>419</v>
      </c>
      <c r="D944" s="30">
        <v>175.905</v>
      </c>
      <c r="E944" s="61" t="s">
        <v>475</v>
      </c>
    </row>
    <row r="945" spans="1:5" s="1" customFormat="1" ht="40.5" customHeight="1">
      <c r="A945" s="96"/>
      <c r="B945" s="85"/>
      <c r="C945" s="83" t="s">
        <v>419</v>
      </c>
      <c r="D945" s="56">
        <v>2.607</v>
      </c>
      <c r="E945" s="56"/>
    </row>
    <row r="946" spans="1:5" s="1" customFormat="1" ht="15">
      <c r="A946" s="95" t="s">
        <v>474</v>
      </c>
      <c r="B946" s="94"/>
      <c r="C946" s="83"/>
      <c r="D946" s="30">
        <f>SUM(D939:D945)</f>
        <v>471.49600000000004</v>
      </c>
      <c r="E946" s="56"/>
    </row>
    <row r="947" spans="1:5" s="1" customFormat="1" ht="38.25">
      <c r="A947" s="83" t="s">
        <v>473</v>
      </c>
      <c r="B947" s="83" t="s">
        <v>472</v>
      </c>
      <c r="C947" s="83" t="s">
        <v>419</v>
      </c>
      <c r="D947" s="56">
        <v>727.319</v>
      </c>
      <c r="E947" s="61" t="s">
        <v>463</v>
      </c>
    </row>
    <row r="948" spans="1:5" s="1" customFormat="1" ht="63.75">
      <c r="A948" s="24" t="s">
        <v>471</v>
      </c>
      <c r="B948" s="24" t="s">
        <v>471</v>
      </c>
      <c r="C948" s="90" t="s">
        <v>419</v>
      </c>
      <c r="D948" s="93">
        <v>10.051</v>
      </c>
      <c r="E948" s="24" t="s">
        <v>298</v>
      </c>
    </row>
    <row r="949" spans="1:5" s="1" customFormat="1" ht="38.25">
      <c r="A949" s="90" t="s">
        <v>470</v>
      </c>
      <c r="B949" s="90" t="s">
        <v>469</v>
      </c>
      <c r="C949" s="90" t="s">
        <v>419</v>
      </c>
      <c r="D949" s="93">
        <v>87.916</v>
      </c>
      <c r="E949" s="24" t="s">
        <v>463</v>
      </c>
    </row>
    <row r="950" spans="1:5" s="1" customFormat="1" ht="38.25">
      <c r="A950" s="90" t="s">
        <v>468</v>
      </c>
      <c r="B950" s="90" t="s">
        <v>467</v>
      </c>
      <c r="C950" s="90" t="s">
        <v>419</v>
      </c>
      <c r="D950" s="93">
        <v>6.237</v>
      </c>
      <c r="E950" s="24" t="s">
        <v>298</v>
      </c>
    </row>
    <row r="951" spans="1:5" s="1" customFormat="1" ht="38.25">
      <c r="A951" s="90" t="s">
        <v>468</v>
      </c>
      <c r="B951" s="90" t="s">
        <v>467</v>
      </c>
      <c r="C951" s="90" t="s">
        <v>419</v>
      </c>
      <c r="D951" s="93">
        <v>491.232</v>
      </c>
      <c r="E951" s="24" t="s">
        <v>463</v>
      </c>
    </row>
    <row r="952" spans="1:5" s="1" customFormat="1" ht="38.25">
      <c r="A952" s="90" t="s">
        <v>468</v>
      </c>
      <c r="B952" s="90" t="s">
        <v>467</v>
      </c>
      <c r="C952" s="90" t="s">
        <v>419</v>
      </c>
      <c r="D952" s="93">
        <v>30</v>
      </c>
      <c r="E952" s="90" t="s">
        <v>466</v>
      </c>
    </row>
    <row r="953" spans="1:5" s="1" customFormat="1" ht="51">
      <c r="A953" s="90" t="s">
        <v>465</v>
      </c>
      <c r="B953" s="90" t="s">
        <v>464</v>
      </c>
      <c r="C953" s="90" t="s">
        <v>419</v>
      </c>
      <c r="D953" s="93">
        <v>6.141</v>
      </c>
      <c r="E953" s="24" t="s">
        <v>298</v>
      </c>
    </row>
    <row r="954" spans="1:5" s="1" customFormat="1" ht="51">
      <c r="A954" s="90" t="s">
        <v>465</v>
      </c>
      <c r="B954" s="90" t="s">
        <v>464</v>
      </c>
      <c r="C954" s="90" t="s">
        <v>419</v>
      </c>
      <c r="D954" s="93">
        <v>490.124</v>
      </c>
      <c r="E954" s="24" t="s">
        <v>463</v>
      </c>
    </row>
    <row r="955" spans="1:5" s="1" customFormat="1" ht="15">
      <c r="A955" s="92" t="s">
        <v>462</v>
      </c>
      <c r="B955" s="91"/>
      <c r="C955" s="90"/>
      <c r="D955" s="25">
        <f>SUM(D947:D954)</f>
        <v>1849.0200000000002</v>
      </c>
      <c r="E955" s="35"/>
    </row>
    <row r="956" spans="1:5" s="1" customFormat="1" ht="25.5">
      <c r="A956" s="89" t="s">
        <v>461</v>
      </c>
      <c r="B956" s="61" t="s">
        <v>460</v>
      </c>
      <c r="C956" s="83" t="s">
        <v>419</v>
      </c>
      <c r="D956" s="30">
        <v>1805</v>
      </c>
      <c r="E956" s="61" t="s">
        <v>459</v>
      </c>
    </row>
    <row r="957" spans="1:5" s="1" customFormat="1" ht="15">
      <c r="A957" s="88" t="s">
        <v>458</v>
      </c>
      <c r="B957" s="87"/>
      <c r="C957" s="83"/>
      <c r="D957" s="30">
        <f>D956</f>
        <v>1805</v>
      </c>
      <c r="E957" s="56"/>
    </row>
    <row r="958" spans="1:5" s="1" customFormat="1" ht="15">
      <c r="A958" s="86" t="s">
        <v>457</v>
      </c>
      <c r="B958" s="86" t="s">
        <v>456</v>
      </c>
      <c r="C958" s="61" t="s">
        <v>419</v>
      </c>
      <c r="D958" s="30">
        <v>68.973</v>
      </c>
      <c r="E958" s="61" t="s">
        <v>448</v>
      </c>
    </row>
    <row r="959" spans="1:5" s="1" customFormat="1" ht="25.5">
      <c r="A959" s="85"/>
      <c r="B959" s="85"/>
      <c r="C959" s="61" t="s">
        <v>452</v>
      </c>
      <c r="D959" s="30">
        <v>1.019</v>
      </c>
      <c r="E959" s="61" t="s">
        <v>451</v>
      </c>
    </row>
    <row r="960" spans="1:5" s="1" customFormat="1" ht="15">
      <c r="A960" s="86" t="s">
        <v>455</v>
      </c>
      <c r="B960" s="86" t="s">
        <v>454</v>
      </c>
      <c r="C960" s="61" t="s">
        <v>419</v>
      </c>
      <c r="D960" s="30">
        <v>10.195</v>
      </c>
      <c r="E960" s="61" t="s">
        <v>453</v>
      </c>
    </row>
    <row r="961" spans="1:5" s="1" customFormat="1" ht="25.5">
      <c r="A961" s="85"/>
      <c r="B961" s="85"/>
      <c r="C961" s="61" t="s">
        <v>452</v>
      </c>
      <c r="D961" s="30">
        <v>0.198</v>
      </c>
      <c r="E961" s="61" t="s">
        <v>451</v>
      </c>
    </row>
    <row r="962" spans="1:5" s="1" customFormat="1" ht="54.75" customHeight="1">
      <c r="A962" s="83" t="s">
        <v>450</v>
      </c>
      <c r="B962" s="83" t="s">
        <v>449</v>
      </c>
      <c r="C962" s="61" t="s">
        <v>419</v>
      </c>
      <c r="D962" s="30">
        <v>27.832</v>
      </c>
      <c r="E962" s="61" t="s">
        <v>448</v>
      </c>
    </row>
    <row r="963" spans="1:5" s="1" customFormat="1" ht="38.25">
      <c r="A963" s="84" t="s">
        <v>421</v>
      </c>
      <c r="B963" s="84" t="s">
        <v>420</v>
      </c>
      <c r="C963" s="83" t="s">
        <v>419</v>
      </c>
      <c r="D963" s="56">
        <v>2.167</v>
      </c>
      <c r="E963" s="61" t="s">
        <v>418</v>
      </c>
    </row>
    <row r="964" spans="1:5" s="1" customFormat="1" ht="38.25">
      <c r="A964" s="84" t="s">
        <v>439</v>
      </c>
      <c r="B964" s="84" t="s">
        <v>438</v>
      </c>
      <c r="C964" s="83" t="s">
        <v>419</v>
      </c>
      <c r="D964" s="56">
        <v>2.167</v>
      </c>
      <c r="E964" s="61" t="s">
        <v>418</v>
      </c>
    </row>
    <row r="965" spans="1:5" s="1" customFormat="1" ht="38.25">
      <c r="A965" s="84" t="s">
        <v>447</v>
      </c>
      <c r="B965" s="84" t="s">
        <v>446</v>
      </c>
      <c r="C965" s="83" t="s">
        <v>419</v>
      </c>
      <c r="D965" s="56">
        <v>2.167</v>
      </c>
      <c r="E965" s="61" t="s">
        <v>418</v>
      </c>
    </row>
    <row r="966" spans="1:5" s="1" customFormat="1" ht="38.25">
      <c r="A966" s="84" t="s">
        <v>425</v>
      </c>
      <c r="B966" s="84" t="s">
        <v>424</v>
      </c>
      <c r="C966" s="83" t="s">
        <v>419</v>
      </c>
      <c r="D966" s="56">
        <v>2.167</v>
      </c>
      <c r="E966" s="61" t="s">
        <v>418</v>
      </c>
    </row>
    <row r="967" spans="1:5" s="1" customFormat="1" ht="38.25">
      <c r="A967" s="84" t="s">
        <v>427</v>
      </c>
      <c r="B967" s="84" t="s">
        <v>426</v>
      </c>
      <c r="C967" s="83" t="s">
        <v>419</v>
      </c>
      <c r="D967" s="56">
        <v>2.167</v>
      </c>
      <c r="E967" s="61" t="s">
        <v>418</v>
      </c>
    </row>
    <row r="968" spans="1:5" s="1" customFormat="1" ht="38.25">
      <c r="A968" s="84" t="s">
        <v>429</v>
      </c>
      <c r="B968" s="84" t="s">
        <v>428</v>
      </c>
      <c r="C968" s="83" t="s">
        <v>419</v>
      </c>
      <c r="D968" s="56">
        <v>2.167</v>
      </c>
      <c r="E968" s="61" t="s">
        <v>418</v>
      </c>
    </row>
    <row r="969" spans="1:5" s="1" customFormat="1" ht="38.25">
      <c r="A969" s="84" t="s">
        <v>431</v>
      </c>
      <c r="B969" s="84" t="s">
        <v>430</v>
      </c>
      <c r="C969" s="83" t="s">
        <v>419</v>
      </c>
      <c r="D969" s="56">
        <v>2.167</v>
      </c>
      <c r="E969" s="61" t="s">
        <v>418</v>
      </c>
    </row>
    <row r="970" spans="1:5" s="1" customFormat="1" ht="38.25">
      <c r="A970" s="84" t="s">
        <v>445</v>
      </c>
      <c r="B970" s="84" t="s">
        <v>444</v>
      </c>
      <c r="C970" s="83" t="s">
        <v>419</v>
      </c>
      <c r="D970" s="56">
        <v>9.675</v>
      </c>
      <c r="E970" s="61" t="s">
        <v>418</v>
      </c>
    </row>
    <row r="971" spans="1:5" s="1" customFormat="1" ht="38.25">
      <c r="A971" s="84" t="s">
        <v>443</v>
      </c>
      <c r="B971" s="84" t="s">
        <v>442</v>
      </c>
      <c r="C971" s="83" t="s">
        <v>419</v>
      </c>
      <c r="D971" s="56">
        <v>9.675</v>
      </c>
      <c r="E971" s="61" t="s">
        <v>418</v>
      </c>
    </row>
    <row r="972" spans="1:5" s="1" customFormat="1" ht="38.25">
      <c r="A972" s="84" t="s">
        <v>437</v>
      </c>
      <c r="B972" s="84" t="s">
        <v>436</v>
      </c>
      <c r="C972" s="83" t="s">
        <v>419</v>
      </c>
      <c r="D972" s="56">
        <v>2.167</v>
      </c>
      <c r="E972" s="61" t="s">
        <v>418</v>
      </c>
    </row>
    <row r="973" spans="1:5" s="1" customFormat="1" ht="25.5">
      <c r="A973" s="84" t="s">
        <v>441</v>
      </c>
      <c r="B973" s="84" t="s">
        <v>440</v>
      </c>
      <c r="C973" s="83" t="s">
        <v>419</v>
      </c>
      <c r="D973" s="56">
        <v>2.166</v>
      </c>
      <c r="E973" s="61" t="s">
        <v>418</v>
      </c>
    </row>
    <row r="974" spans="1:5" s="1" customFormat="1" ht="38.25">
      <c r="A974" s="84" t="s">
        <v>439</v>
      </c>
      <c r="B974" s="84" t="s">
        <v>438</v>
      </c>
      <c r="C974" s="83" t="s">
        <v>419</v>
      </c>
      <c r="D974" s="56">
        <v>2.167</v>
      </c>
      <c r="E974" s="61" t="s">
        <v>418</v>
      </c>
    </row>
    <row r="975" spans="1:5" s="1" customFormat="1" ht="38.25">
      <c r="A975" s="84" t="s">
        <v>437</v>
      </c>
      <c r="B975" s="84" t="s">
        <v>436</v>
      </c>
      <c r="C975" s="83" t="s">
        <v>419</v>
      </c>
      <c r="D975" s="56">
        <v>9.675</v>
      </c>
      <c r="E975" s="61" t="s">
        <v>418</v>
      </c>
    </row>
    <row r="976" spans="1:5" s="1" customFormat="1" ht="38.25">
      <c r="A976" s="84" t="s">
        <v>435</v>
      </c>
      <c r="B976" s="84" t="s">
        <v>434</v>
      </c>
      <c r="C976" s="83" t="s">
        <v>419</v>
      </c>
      <c r="D976" s="56">
        <v>9.675</v>
      </c>
      <c r="E976" s="61" t="s">
        <v>418</v>
      </c>
    </row>
    <row r="977" spans="1:5" s="1" customFormat="1" ht="38.25">
      <c r="A977" s="84" t="s">
        <v>433</v>
      </c>
      <c r="B977" s="84" t="s">
        <v>432</v>
      </c>
      <c r="C977" s="83" t="s">
        <v>419</v>
      </c>
      <c r="D977" s="56">
        <v>2.167</v>
      </c>
      <c r="E977" s="61" t="s">
        <v>418</v>
      </c>
    </row>
    <row r="978" spans="1:5" s="1" customFormat="1" ht="38.25">
      <c r="A978" s="84" t="s">
        <v>431</v>
      </c>
      <c r="B978" s="84" t="s">
        <v>430</v>
      </c>
      <c r="C978" s="83" t="s">
        <v>419</v>
      </c>
      <c r="D978" s="56">
        <v>9.675</v>
      </c>
      <c r="E978" s="61" t="s">
        <v>418</v>
      </c>
    </row>
    <row r="979" spans="1:5" s="1" customFormat="1" ht="38.25">
      <c r="A979" s="84" t="s">
        <v>429</v>
      </c>
      <c r="B979" s="84" t="s">
        <v>428</v>
      </c>
      <c r="C979" s="83" t="s">
        <v>419</v>
      </c>
      <c r="D979" s="56">
        <v>2.167</v>
      </c>
      <c r="E979" s="61" t="s">
        <v>418</v>
      </c>
    </row>
    <row r="980" spans="1:5" s="1" customFormat="1" ht="38.25">
      <c r="A980" s="84" t="s">
        <v>427</v>
      </c>
      <c r="B980" s="84" t="s">
        <v>426</v>
      </c>
      <c r="C980" s="83" t="s">
        <v>419</v>
      </c>
      <c r="D980" s="56">
        <v>9.675</v>
      </c>
      <c r="E980" s="61" t="s">
        <v>418</v>
      </c>
    </row>
    <row r="981" spans="1:5" s="1" customFormat="1" ht="38.25">
      <c r="A981" s="84" t="s">
        <v>425</v>
      </c>
      <c r="B981" s="84" t="s">
        <v>424</v>
      </c>
      <c r="C981" s="83" t="s">
        <v>419</v>
      </c>
      <c r="D981" s="56">
        <v>9.675</v>
      </c>
      <c r="E981" s="61" t="s">
        <v>418</v>
      </c>
    </row>
    <row r="982" spans="1:5" s="1" customFormat="1" ht="25.5">
      <c r="A982" s="84" t="s">
        <v>423</v>
      </c>
      <c r="B982" s="84" t="s">
        <v>422</v>
      </c>
      <c r="C982" s="83" t="s">
        <v>419</v>
      </c>
      <c r="D982" s="56">
        <v>9.675</v>
      </c>
      <c r="E982" s="61" t="s">
        <v>418</v>
      </c>
    </row>
    <row r="983" spans="1:5" s="1" customFormat="1" ht="38.25">
      <c r="A983" s="84" t="s">
        <v>421</v>
      </c>
      <c r="B983" s="84" t="s">
        <v>420</v>
      </c>
      <c r="C983" s="83" t="s">
        <v>419</v>
      </c>
      <c r="D983" s="56">
        <v>2.167</v>
      </c>
      <c r="E983" s="61" t="s">
        <v>418</v>
      </c>
    </row>
    <row r="984" spans="1:5" s="1" customFormat="1" ht="15">
      <c r="A984" s="82" t="s">
        <v>417</v>
      </c>
      <c r="B984" s="81"/>
      <c r="C984" s="61"/>
      <c r="D984" s="54">
        <f>SUM(D958:D983)</f>
        <v>213.78700000000012</v>
      </c>
      <c r="E984" s="56"/>
    </row>
    <row r="985" spans="1:5" s="1" customFormat="1" ht="15.75" thickBot="1">
      <c r="A985" s="80"/>
      <c r="B985" s="79" t="s">
        <v>1</v>
      </c>
      <c r="C985" s="78" t="s">
        <v>0</v>
      </c>
      <c r="D985" s="48">
        <f>D923+D938+D946+D955+D957+D984</f>
        <v>10038.188</v>
      </c>
      <c r="E985" s="77"/>
    </row>
    <row r="986" spans="1:5" s="2" customFormat="1" ht="15.75" customHeight="1">
      <c r="A986" s="76" t="s">
        <v>416</v>
      </c>
      <c r="B986" s="75"/>
      <c r="C986" s="75"/>
      <c r="D986" s="75"/>
      <c r="E986" s="74"/>
    </row>
    <row r="987" spans="1:5" s="2" customFormat="1" ht="42.75" customHeight="1">
      <c r="A987" s="35" t="s">
        <v>414</v>
      </c>
      <c r="B987" s="35" t="s">
        <v>415</v>
      </c>
      <c r="C987" s="35" t="s">
        <v>401</v>
      </c>
      <c r="D987" s="73">
        <v>120.92082</v>
      </c>
      <c r="E987" s="35" t="s">
        <v>400</v>
      </c>
    </row>
    <row r="988" spans="1:5" s="2" customFormat="1" ht="51" customHeight="1">
      <c r="A988" s="35" t="s">
        <v>414</v>
      </c>
      <c r="B988" s="35" t="s">
        <v>413</v>
      </c>
      <c r="C988" s="35" t="s">
        <v>401</v>
      </c>
      <c r="D988" s="73">
        <v>77.99661</v>
      </c>
      <c r="E988" s="35" t="s">
        <v>412</v>
      </c>
    </row>
    <row r="989" spans="1:5" s="1" customFormat="1" ht="36.75" customHeight="1">
      <c r="A989" s="35" t="s">
        <v>411</v>
      </c>
      <c r="B989" s="35" t="s">
        <v>410</v>
      </c>
      <c r="C989" s="35" t="s">
        <v>401</v>
      </c>
      <c r="D989" s="71">
        <v>201.17898</v>
      </c>
      <c r="E989" s="35" t="s">
        <v>400</v>
      </c>
    </row>
    <row r="990" spans="1:5" s="1" customFormat="1" ht="36.75" customHeight="1">
      <c r="A990" s="35" t="s">
        <v>409</v>
      </c>
      <c r="B990" s="35" t="s">
        <v>408</v>
      </c>
      <c r="C990" s="35" t="s">
        <v>401</v>
      </c>
      <c r="D990" s="71">
        <v>22.78915</v>
      </c>
      <c r="E990" s="35" t="s">
        <v>400</v>
      </c>
    </row>
    <row r="991" spans="1:5" s="1" customFormat="1" ht="54.75" customHeight="1">
      <c r="A991" s="35" t="s">
        <v>407</v>
      </c>
      <c r="B991" s="35" t="s">
        <v>406</v>
      </c>
      <c r="C991" s="35" t="s">
        <v>401</v>
      </c>
      <c r="D991" s="71">
        <v>86.24879</v>
      </c>
      <c r="E991" s="35" t="s">
        <v>400</v>
      </c>
    </row>
    <row r="992" spans="1:5" s="1" customFormat="1" ht="36.75" customHeight="1">
      <c r="A992" s="35" t="s">
        <v>405</v>
      </c>
      <c r="B992" s="35" t="s">
        <v>404</v>
      </c>
      <c r="C992" s="35" t="s">
        <v>401</v>
      </c>
      <c r="D992" s="71">
        <v>199.99067</v>
      </c>
      <c r="E992" s="35" t="s">
        <v>400</v>
      </c>
    </row>
    <row r="993" spans="1:5" s="1" customFormat="1" ht="36.75" customHeight="1">
      <c r="A993" s="35" t="s">
        <v>403</v>
      </c>
      <c r="B993" s="35" t="s">
        <v>402</v>
      </c>
      <c r="C993" s="35" t="s">
        <v>401</v>
      </c>
      <c r="D993" s="71">
        <v>89.69653</v>
      </c>
      <c r="E993" s="35" t="s">
        <v>400</v>
      </c>
    </row>
    <row r="994" spans="1:5" s="1" customFormat="1" ht="36.75" customHeight="1">
      <c r="A994" s="35" t="s">
        <v>399</v>
      </c>
      <c r="B994" s="35" t="s">
        <v>398</v>
      </c>
      <c r="C994" s="51" t="s">
        <v>395</v>
      </c>
      <c r="D994" s="71">
        <v>198.62679</v>
      </c>
      <c r="E994" s="51" t="s">
        <v>298</v>
      </c>
    </row>
    <row r="995" spans="1:5" s="1" customFormat="1" ht="36.75" customHeight="1">
      <c r="A995" s="35" t="s">
        <v>397</v>
      </c>
      <c r="B995" s="35" t="s">
        <v>396</v>
      </c>
      <c r="C995" s="51" t="s">
        <v>395</v>
      </c>
      <c r="D995" s="71">
        <v>199.78631</v>
      </c>
      <c r="E995" s="51" t="s">
        <v>298</v>
      </c>
    </row>
    <row r="996" spans="1:5" s="1" customFormat="1" ht="36.75" customHeight="1">
      <c r="A996" s="35" t="s">
        <v>394</v>
      </c>
      <c r="B996" s="35" t="s">
        <v>393</v>
      </c>
      <c r="C996" s="51" t="s">
        <v>378</v>
      </c>
      <c r="D996" s="71">
        <v>90.38794</v>
      </c>
      <c r="E996" s="51" t="s">
        <v>377</v>
      </c>
    </row>
    <row r="997" spans="1:5" s="1" customFormat="1" ht="36.75" customHeight="1">
      <c r="A997" s="35" t="s">
        <v>392</v>
      </c>
      <c r="B997" s="35" t="s">
        <v>391</v>
      </c>
      <c r="C997" s="51" t="s">
        <v>378</v>
      </c>
      <c r="D997" s="71">
        <v>150.385</v>
      </c>
      <c r="E997" s="51" t="s">
        <v>377</v>
      </c>
    </row>
    <row r="998" spans="1:5" s="1" customFormat="1" ht="36.75" customHeight="1">
      <c r="A998" s="35" t="s">
        <v>390</v>
      </c>
      <c r="B998" s="35" t="s">
        <v>389</v>
      </c>
      <c r="C998" s="51" t="s">
        <v>378</v>
      </c>
      <c r="D998" s="71">
        <v>199.93253</v>
      </c>
      <c r="E998" s="51" t="s">
        <v>298</v>
      </c>
    </row>
    <row r="999" spans="1:5" s="1" customFormat="1" ht="36.75" customHeight="1">
      <c r="A999" s="35" t="s">
        <v>388</v>
      </c>
      <c r="B999" s="35" t="s">
        <v>387</v>
      </c>
      <c r="C999" s="51" t="s">
        <v>378</v>
      </c>
      <c r="D999" s="72">
        <v>199.27799</v>
      </c>
      <c r="E999" s="51" t="s">
        <v>386</v>
      </c>
    </row>
    <row r="1000" spans="1:5" s="1" customFormat="1" ht="36.75" customHeight="1">
      <c r="A1000" s="35" t="s">
        <v>385</v>
      </c>
      <c r="B1000" s="35" t="s">
        <v>384</v>
      </c>
      <c r="C1000" s="51" t="s">
        <v>378</v>
      </c>
      <c r="D1000" s="71">
        <v>11.94252</v>
      </c>
      <c r="E1000" s="51" t="s">
        <v>377</v>
      </c>
    </row>
    <row r="1001" spans="1:5" s="1" customFormat="1" ht="36.75" customHeight="1">
      <c r="A1001" s="35" t="s">
        <v>383</v>
      </c>
      <c r="B1001" s="35" t="s">
        <v>382</v>
      </c>
      <c r="C1001" s="51" t="s">
        <v>378</v>
      </c>
      <c r="D1001" s="72">
        <v>29.24752</v>
      </c>
      <c r="E1001" s="51" t="s">
        <v>381</v>
      </c>
    </row>
    <row r="1002" spans="1:5" s="1" customFormat="1" ht="36.75" customHeight="1">
      <c r="A1002" s="35" t="s">
        <v>380</v>
      </c>
      <c r="B1002" s="35" t="s">
        <v>379</v>
      </c>
      <c r="C1002" s="51" t="s">
        <v>378</v>
      </c>
      <c r="D1002" s="72">
        <v>120.59224</v>
      </c>
      <c r="E1002" s="51" t="s">
        <v>377</v>
      </c>
    </row>
    <row r="1003" spans="1:5" s="1" customFormat="1" ht="36.75" customHeight="1">
      <c r="A1003" s="35" t="s">
        <v>376</v>
      </c>
      <c r="B1003" s="35" t="s">
        <v>375</v>
      </c>
      <c r="C1003" s="51" t="s">
        <v>372</v>
      </c>
      <c r="D1003" s="71">
        <v>75.78653</v>
      </c>
      <c r="E1003" s="51" t="s">
        <v>371</v>
      </c>
    </row>
    <row r="1004" spans="1:5" s="1" customFormat="1" ht="36.75" customHeight="1">
      <c r="A1004" s="35" t="s">
        <v>374</v>
      </c>
      <c r="B1004" s="35" t="s">
        <v>373</v>
      </c>
      <c r="C1004" s="51" t="s">
        <v>372</v>
      </c>
      <c r="D1004" s="71">
        <v>66.15115</v>
      </c>
      <c r="E1004" s="51" t="s">
        <v>371</v>
      </c>
    </row>
    <row r="1005" spans="1:5" s="1" customFormat="1" ht="36.75" customHeight="1">
      <c r="A1005" s="35" t="s">
        <v>370</v>
      </c>
      <c r="B1005" s="35" t="s">
        <v>369</v>
      </c>
      <c r="C1005" s="51" t="s">
        <v>366</v>
      </c>
      <c r="D1005" s="25">
        <v>199.97249</v>
      </c>
      <c r="E1005" s="51" t="s">
        <v>341</v>
      </c>
    </row>
    <row r="1006" spans="1:5" s="1" customFormat="1" ht="36.75" customHeight="1">
      <c r="A1006" s="35" t="s">
        <v>368</v>
      </c>
      <c r="B1006" s="35" t="s">
        <v>367</v>
      </c>
      <c r="C1006" s="51" t="s">
        <v>366</v>
      </c>
      <c r="D1006" s="71">
        <v>199.9927</v>
      </c>
      <c r="E1006" s="51" t="s">
        <v>341</v>
      </c>
    </row>
    <row r="1007" spans="1:5" s="1" customFormat="1" ht="36.75" customHeight="1">
      <c r="A1007" s="35" t="s">
        <v>365</v>
      </c>
      <c r="B1007" s="35" t="s">
        <v>364</v>
      </c>
      <c r="C1007" s="51" t="s">
        <v>355</v>
      </c>
      <c r="D1007" s="25">
        <v>57.06468</v>
      </c>
      <c r="E1007" s="51" t="s">
        <v>341</v>
      </c>
    </row>
    <row r="1008" spans="1:5" s="1" customFormat="1" ht="36.75" customHeight="1">
      <c r="A1008" s="35" t="s">
        <v>363</v>
      </c>
      <c r="B1008" s="35" t="s">
        <v>362</v>
      </c>
      <c r="C1008" s="51" t="s">
        <v>355</v>
      </c>
      <c r="D1008" s="71">
        <v>33.63394</v>
      </c>
      <c r="E1008" s="51" t="s">
        <v>341</v>
      </c>
    </row>
    <row r="1009" spans="1:5" s="1" customFormat="1" ht="36.75" customHeight="1">
      <c r="A1009" s="35" t="s">
        <v>361</v>
      </c>
      <c r="B1009" s="35" t="s">
        <v>360</v>
      </c>
      <c r="C1009" s="51" t="s">
        <v>355</v>
      </c>
      <c r="D1009" s="71">
        <v>82.21551</v>
      </c>
      <c r="E1009" s="51" t="s">
        <v>341</v>
      </c>
    </row>
    <row r="1010" spans="1:5" s="1" customFormat="1" ht="36.75" customHeight="1">
      <c r="A1010" s="35" t="s">
        <v>359</v>
      </c>
      <c r="B1010" s="35" t="s">
        <v>358</v>
      </c>
      <c r="C1010" s="51" t="s">
        <v>355</v>
      </c>
      <c r="D1010" s="71">
        <v>38.54262</v>
      </c>
      <c r="E1010" s="51" t="s">
        <v>341</v>
      </c>
    </row>
    <row r="1011" spans="1:5" s="1" customFormat="1" ht="36.75" customHeight="1">
      <c r="A1011" s="35" t="s">
        <v>357</v>
      </c>
      <c r="B1011" s="35" t="s">
        <v>356</v>
      </c>
      <c r="C1011" s="51" t="s">
        <v>355</v>
      </c>
      <c r="D1011" s="71">
        <v>38.54262</v>
      </c>
      <c r="E1011" s="51" t="s">
        <v>341</v>
      </c>
    </row>
    <row r="1012" spans="1:5" s="1" customFormat="1" ht="36.75" customHeight="1">
      <c r="A1012" s="35" t="s">
        <v>354</v>
      </c>
      <c r="B1012" s="35" t="s">
        <v>353</v>
      </c>
      <c r="C1012" s="51" t="s">
        <v>336</v>
      </c>
      <c r="D1012" s="25">
        <v>199.81733</v>
      </c>
      <c r="E1012" s="51" t="s">
        <v>341</v>
      </c>
    </row>
    <row r="1013" spans="1:5" s="1" customFormat="1" ht="36.75" customHeight="1">
      <c r="A1013" s="35" t="s">
        <v>352</v>
      </c>
      <c r="B1013" s="35" t="s">
        <v>351</v>
      </c>
      <c r="C1013" s="51" t="s">
        <v>336</v>
      </c>
      <c r="D1013" s="71">
        <v>197.7885</v>
      </c>
      <c r="E1013" s="51" t="s">
        <v>341</v>
      </c>
    </row>
    <row r="1014" spans="1:5" s="1" customFormat="1" ht="36.75" customHeight="1">
      <c r="A1014" s="35" t="s">
        <v>343</v>
      </c>
      <c r="B1014" s="35" t="s">
        <v>349</v>
      </c>
      <c r="C1014" s="51" t="s">
        <v>336</v>
      </c>
      <c r="D1014" s="71">
        <v>52.49792</v>
      </c>
      <c r="E1014" s="51" t="s">
        <v>341</v>
      </c>
    </row>
    <row r="1015" spans="1:5" s="1" customFormat="1" ht="36.75" customHeight="1">
      <c r="A1015" s="35" t="s">
        <v>343</v>
      </c>
      <c r="B1015" s="35" t="s">
        <v>350</v>
      </c>
      <c r="C1015" s="51" t="s">
        <v>336</v>
      </c>
      <c r="D1015" s="71">
        <v>27.35481</v>
      </c>
      <c r="E1015" s="51" t="s">
        <v>344</v>
      </c>
    </row>
    <row r="1016" spans="1:5" s="1" customFormat="1" ht="36.75" customHeight="1">
      <c r="A1016" s="35" t="s">
        <v>343</v>
      </c>
      <c r="B1016" s="35" t="s">
        <v>349</v>
      </c>
      <c r="C1016" s="51" t="s">
        <v>336</v>
      </c>
      <c r="D1016" s="71">
        <v>28.58605</v>
      </c>
      <c r="E1016" s="51" t="s">
        <v>341</v>
      </c>
    </row>
    <row r="1017" spans="1:5" s="1" customFormat="1" ht="36.75" customHeight="1">
      <c r="A1017" s="35" t="s">
        <v>343</v>
      </c>
      <c r="B1017" s="35" t="s">
        <v>348</v>
      </c>
      <c r="C1017" s="51" t="s">
        <v>336</v>
      </c>
      <c r="D1017" s="71">
        <v>26.32395</v>
      </c>
      <c r="E1017" s="51" t="s">
        <v>344</v>
      </c>
    </row>
    <row r="1018" spans="1:5" s="1" customFormat="1" ht="36.75" customHeight="1">
      <c r="A1018" s="35" t="s">
        <v>343</v>
      </c>
      <c r="B1018" s="35" t="s">
        <v>347</v>
      </c>
      <c r="C1018" s="51" t="s">
        <v>336</v>
      </c>
      <c r="D1018" s="71">
        <v>66.99251</v>
      </c>
      <c r="E1018" s="51" t="s">
        <v>341</v>
      </c>
    </row>
    <row r="1019" spans="1:5" s="1" customFormat="1" ht="36.75" customHeight="1">
      <c r="A1019" s="35" t="s">
        <v>346</v>
      </c>
      <c r="B1019" s="35" t="s">
        <v>345</v>
      </c>
      <c r="C1019" s="51" t="s">
        <v>336</v>
      </c>
      <c r="D1019" s="71">
        <v>24.40935</v>
      </c>
      <c r="E1019" s="51" t="s">
        <v>344</v>
      </c>
    </row>
    <row r="1020" spans="1:5" s="1" customFormat="1" ht="36.75" customHeight="1">
      <c r="A1020" s="35" t="s">
        <v>343</v>
      </c>
      <c r="B1020" s="35" t="s">
        <v>342</v>
      </c>
      <c r="C1020" s="51" t="s">
        <v>336</v>
      </c>
      <c r="D1020" s="71">
        <v>55.90636</v>
      </c>
      <c r="E1020" s="51" t="s">
        <v>341</v>
      </c>
    </row>
    <row r="1021" spans="1:5" s="1" customFormat="1" ht="36.75" customHeight="1">
      <c r="A1021" s="35" t="s">
        <v>340</v>
      </c>
      <c r="B1021" s="35" t="s">
        <v>339</v>
      </c>
      <c r="C1021" s="51" t="s">
        <v>336</v>
      </c>
      <c r="D1021" s="71">
        <v>152.48886</v>
      </c>
      <c r="E1021" s="51" t="s">
        <v>335</v>
      </c>
    </row>
    <row r="1022" spans="1:5" s="1" customFormat="1" ht="36.75" customHeight="1">
      <c r="A1022" s="35" t="s">
        <v>338</v>
      </c>
      <c r="B1022" s="35" t="s">
        <v>337</v>
      </c>
      <c r="C1022" s="51" t="s">
        <v>336</v>
      </c>
      <c r="D1022" s="71">
        <v>9.63399</v>
      </c>
      <c r="E1022" s="51" t="s">
        <v>335</v>
      </c>
    </row>
    <row r="1023" spans="1:5" s="1" customFormat="1" ht="36.75" customHeight="1">
      <c r="A1023" s="35" t="s">
        <v>334</v>
      </c>
      <c r="B1023" s="35" t="s">
        <v>333</v>
      </c>
      <c r="C1023" s="51" t="s">
        <v>310</v>
      </c>
      <c r="D1023" s="25">
        <v>148.7828</v>
      </c>
      <c r="E1023" s="51" t="s">
        <v>68</v>
      </c>
    </row>
    <row r="1024" spans="1:5" s="1" customFormat="1" ht="36.75" customHeight="1">
      <c r="A1024" s="35" t="s">
        <v>332</v>
      </c>
      <c r="B1024" s="35" t="s">
        <v>331</v>
      </c>
      <c r="C1024" s="51" t="s">
        <v>310</v>
      </c>
      <c r="D1024" s="71">
        <v>23.45719</v>
      </c>
      <c r="E1024" s="51" t="s">
        <v>68</v>
      </c>
    </row>
    <row r="1025" spans="1:5" s="1" customFormat="1" ht="36.75" customHeight="1">
      <c r="A1025" s="35" t="s">
        <v>330</v>
      </c>
      <c r="B1025" s="35" t="s">
        <v>329</v>
      </c>
      <c r="C1025" s="51" t="s">
        <v>310</v>
      </c>
      <c r="D1025" s="71">
        <v>31.92118</v>
      </c>
      <c r="E1025" s="51" t="s">
        <v>68</v>
      </c>
    </row>
    <row r="1026" spans="1:5" s="1" customFormat="1" ht="36.75" customHeight="1">
      <c r="A1026" s="35" t="s">
        <v>328</v>
      </c>
      <c r="B1026" s="35" t="s">
        <v>327</v>
      </c>
      <c r="C1026" s="51" t="s">
        <v>310</v>
      </c>
      <c r="D1026" s="71">
        <v>64.46301</v>
      </c>
      <c r="E1026" s="51" t="s">
        <v>68</v>
      </c>
    </row>
    <row r="1027" spans="1:5" s="1" customFormat="1" ht="36.75" customHeight="1">
      <c r="A1027" s="35" t="s">
        <v>326</v>
      </c>
      <c r="B1027" s="35" t="s">
        <v>325</v>
      </c>
      <c r="C1027" s="51" t="s">
        <v>310</v>
      </c>
      <c r="D1027" s="71">
        <v>135.54059</v>
      </c>
      <c r="E1027" s="51" t="s">
        <v>68</v>
      </c>
    </row>
    <row r="1028" spans="1:5" s="1" customFormat="1" ht="51">
      <c r="A1028" s="35" t="s">
        <v>324</v>
      </c>
      <c r="B1028" s="35" t="s">
        <v>323</v>
      </c>
      <c r="C1028" s="51" t="s">
        <v>310</v>
      </c>
      <c r="D1028" s="71">
        <v>198.9412</v>
      </c>
      <c r="E1028" s="51" t="s">
        <v>68</v>
      </c>
    </row>
    <row r="1029" spans="1:5" s="1" customFormat="1" ht="51">
      <c r="A1029" s="35" t="s">
        <v>322</v>
      </c>
      <c r="B1029" s="35" t="s">
        <v>321</v>
      </c>
      <c r="C1029" s="51" t="s">
        <v>310</v>
      </c>
      <c r="D1029" s="71">
        <v>29.81503</v>
      </c>
      <c r="E1029" s="51" t="s">
        <v>68</v>
      </c>
    </row>
    <row r="1030" spans="1:5" s="1" customFormat="1" ht="51">
      <c r="A1030" s="35" t="s">
        <v>320</v>
      </c>
      <c r="B1030" s="35" t="s">
        <v>319</v>
      </c>
      <c r="C1030" s="51" t="s">
        <v>310</v>
      </c>
      <c r="D1030" s="71">
        <v>51.67052</v>
      </c>
      <c r="E1030" s="51" t="s">
        <v>68</v>
      </c>
    </row>
    <row r="1031" spans="1:5" s="1" customFormat="1" ht="38.25">
      <c r="A1031" s="35" t="s">
        <v>318</v>
      </c>
      <c r="B1031" s="35" t="s">
        <v>317</v>
      </c>
      <c r="C1031" s="51" t="s">
        <v>310</v>
      </c>
      <c r="D1031" s="71">
        <v>68.16008</v>
      </c>
      <c r="E1031" s="51" t="s">
        <v>68</v>
      </c>
    </row>
    <row r="1032" spans="1:5" s="1" customFormat="1" ht="51">
      <c r="A1032" s="35" t="s">
        <v>316</v>
      </c>
      <c r="B1032" s="35" t="s">
        <v>315</v>
      </c>
      <c r="C1032" s="51" t="s">
        <v>310</v>
      </c>
      <c r="D1032" s="71">
        <v>75.12458</v>
      </c>
      <c r="E1032" s="51" t="s">
        <v>68</v>
      </c>
    </row>
    <row r="1033" spans="1:5" s="1" customFormat="1" ht="38.25">
      <c r="A1033" s="35" t="s">
        <v>314</v>
      </c>
      <c r="B1033" s="35" t="s">
        <v>313</v>
      </c>
      <c r="C1033" s="51" t="s">
        <v>310</v>
      </c>
      <c r="D1033" s="71">
        <v>7.50447</v>
      </c>
      <c r="E1033" s="51" t="s">
        <v>68</v>
      </c>
    </row>
    <row r="1034" spans="1:5" s="1" customFormat="1" ht="38.25">
      <c r="A1034" s="35" t="s">
        <v>312</v>
      </c>
      <c r="B1034" s="35" t="s">
        <v>311</v>
      </c>
      <c r="C1034" s="51" t="s">
        <v>310</v>
      </c>
      <c r="D1034" s="71">
        <v>70.75213</v>
      </c>
      <c r="E1034" s="51" t="s">
        <v>68</v>
      </c>
    </row>
    <row r="1035" spans="1:5" s="1" customFormat="1" ht="38.25">
      <c r="A1035" s="35" t="s">
        <v>312</v>
      </c>
      <c r="B1035" s="35" t="s">
        <v>311</v>
      </c>
      <c r="C1035" s="51" t="s">
        <v>310</v>
      </c>
      <c r="D1035" s="71">
        <v>17.95945</v>
      </c>
      <c r="E1035" s="51" t="s">
        <v>68</v>
      </c>
    </row>
    <row r="1036" spans="1:5" s="1" customFormat="1" ht="38.25">
      <c r="A1036" s="35" t="s">
        <v>309</v>
      </c>
      <c r="B1036" s="35" t="s">
        <v>308</v>
      </c>
      <c r="C1036" s="51" t="s">
        <v>36</v>
      </c>
      <c r="D1036" s="25">
        <v>199.98882</v>
      </c>
      <c r="E1036" s="51" t="s">
        <v>298</v>
      </c>
    </row>
    <row r="1037" spans="1:5" s="1" customFormat="1" ht="25.5">
      <c r="A1037" s="35" t="s">
        <v>307</v>
      </c>
      <c r="B1037" s="35" t="s">
        <v>306</v>
      </c>
      <c r="C1037" s="51" t="s">
        <v>36</v>
      </c>
      <c r="D1037" s="71">
        <v>198.75168</v>
      </c>
      <c r="E1037" s="51" t="s">
        <v>298</v>
      </c>
    </row>
    <row r="1038" spans="1:5" s="1" customFormat="1" ht="38.25">
      <c r="A1038" s="35" t="s">
        <v>305</v>
      </c>
      <c r="B1038" s="35" t="s">
        <v>304</v>
      </c>
      <c r="C1038" s="51" t="s">
        <v>36</v>
      </c>
      <c r="D1038" s="71">
        <v>199.98693</v>
      </c>
      <c r="E1038" s="51" t="s">
        <v>303</v>
      </c>
    </row>
    <row r="1039" spans="1:5" s="1" customFormat="1" ht="51">
      <c r="A1039" s="35" t="s">
        <v>302</v>
      </c>
      <c r="B1039" s="35" t="s">
        <v>301</v>
      </c>
      <c r="C1039" s="51" t="s">
        <v>36</v>
      </c>
      <c r="D1039" s="71">
        <v>59.36043</v>
      </c>
      <c r="E1039" s="51" t="s">
        <v>295</v>
      </c>
    </row>
    <row r="1040" spans="1:5" s="1" customFormat="1" ht="38.25">
      <c r="A1040" s="35" t="s">
        <v>300</v>
      </c>
      <c r="B1040" s="35" t="s">
        <v>299</v>
      </c>
      <c r="C1040" s="51" t="s">
        <v>36</v>
      </c>
      <c r="D1040" s="71">
        <v>199.98626</v>
      </c>
      <c r="E1040" s="51" t="s">
        <v>298</v>
      </c>
    </row>
    <row r="1041" spans="1:5" ht="38.25">
      <c r="A1041" s="35" t="s">
        <v>297</v>
      </c>
      <c r="B1041" s="35" t="s">
        <v>296</v>
      </c>
      <c r="C1041" s="51" t="s">
        <v>36</v>
      </c>
      <c r="D1041" s="71">
        <v>59.72588</v>
      </c>
      <c r="E1041" s="51" t="s">
        <v>295</v>
      </c>
    </row>
    <row r="1042" spans="1:5" ht="15">
      <c r="A1042" s="70"/>
      <c r="B1042" s="70" t="s">
        <v>1</v>
      </c>
      <c r="C1042" s="68" t="s">
        <v>0</v>
      </c>
      <c r="D1042" s="69">
        <f>SUM(D989:D1041)</f>
        <v>5275.677059999998</v>
      </c>
      <c r="E1042" s="68" t="s">
        <v>0</v>
      </c>
    </row>
    <row r="1043" spans="1:6" s="2" customFormat="1" ht="15">
      <c r="A1043" s="67" t="s">
        <v>294</v>
      </c>
      <c r="B1043" s="66"/>
      <c r="C1043" s="66"/>
      <c r="D1043" s="66"/>
      <c r="E1043" s="65"/>
      <c r="F1043" s="64" t="s">
        <v>293</v>
      </c>
    </row>
    <row r="1044" spans="1:5" ht="38.25">
      <c r="A1044" s="61" t="s">
        <v>292</v>
      </c>
      <c r="B1044" s="59" t="s">
        <v>291</v>
      </c>
      <c r="C1044" s="62" t="s">
        <v>251</v>
      </c>
      <c r="D1044" s="58">
        <v>789.747</v>
      </c>
      <c r="E1044" s="54" t="s">
        <v>250</v>
      </c>
    </row>
    <row r="1045" spans="1:5" ht="38.25">
      <c r="A1045" s="61" t="s">
        <v>292</v>
      </c>
      <c r="B1045" s="59" t="s">
        <v>291</v>
      </c>
      <c r="C1045" s="59" t="s">
        <v>208</v>
      </c>
      <c r="D1045" s="58">
        <v>10.253</v>
      </c>
      <c r="E1045" s="54" t="s">
        <v>207</v>
      </c>
    </row>
    <row r="1046" spans="1:5" s="2" customFormat="1" ht="38.25">
      <c r="A1046" s="61" t="s">
        <v>289</v>
      </c>
      <c r="B1046" s="59" t="s">
        <v>290</v>
      </c>
      <c r="C1046" s="59" t="s">
        <v>251</v>
      </c>
      <c r="D1046" s="58">
        <v>397.465</v>
      </c>
      <c r="E1046" s="54" t="s">
        <v>250</v>
      </c>
    </row>
    <row r="1047" spans="1:5" s="2" customFormat="1" ht="38.25">
      <c r="A1047" s="61" t="s">
        <v>289</v>
      </c>
      <c r="B1047" s="59" t="s">
        <v>288</v>
      </c>
      <c r="C1047" s="59" t="s">
        <v>208</v>
      </c>
      <c r="D1047" s="58">
        <v>2.535</v>
      </c>
      <c r="E1047" s="54" t="s">
        <v>207</v>
      </c>
    </row>
    <row r="1048" spans="1:5" s="2" customFormat="1" ht="38.25">
      <c r="A1048" s="60" t="s">
        <v>287</v>
      </c>
      <c r="B1048" s="59" t="s">
        <v>286</v>
      </c>
      <c r="C1048" s="59" t="s">
        <v>251</v>
      </c>
      <c r="D1048" s="58">
        <v>800</v>
      </c>
      <c r="E1048" s="54" t="s">
        <v>250</v>
      </c>
    </row>
    <row r="1049" spans="1:5" s="2" customFormat="1" ht="25.5">
      <c r="A1049" s="60" t="s">
        <v>285</v>
      </c>
      <c r="B1049" s="59" t="s">
        <v>284</v>
      </c>
      <c r="C1049" s="59" t="s">
        <v>208</v>
      </c>
      <c r="D1049" s="58">
        <v>7.656</v>
      </c>
      <c r="E1049" s="54" t="s">
        <v>207</v>
      </c>
    </row>
    <row r="1050" spans="1:5" s="2" customFormat="1" ht="25.5">
      <c r="A1050" s="60" t="s">
        <v>285</v>
      </c>
      <c r="B1050" s="59" t="s">
        <v>284</v>
      </c>
      <c r="C1050" s="59" t="s">
        <v>251</v>
      </c>
      <c r="D1050" s="58">
        <v>592.344</v>
      </c>
      <c r="E1050" s="54" t="s">
        <v>250</v>
      </c>
    </row>
    <row r="1051" spans="1:5" s="2" customFormat="1" ht="25.5">
      <c r="A1051" s="60" t="s">
        <v>282</v>
      </c>
      <c r="B1051" s="59" t="s">
        <v>283</v>
      </c>
      <c r="C1051" s="59" t="s">
        <v>208</v>
      </c>
      <c r="D1051" s="58">
        <v>7.656</v>
      </c>
      <c r="E1051" s="54" t="s">
        <v>207</v>
      </c>
    </row>
    <row r="1052" spans="1:5" s="2" customFormat="1" ht="25.5">
      <c r="A1052" s="60" t="s">
        <v>282</v>
      </c>
      <c r="B1052" s="59" t="s">
        <v>281</v>
      </c>
      <c r="C1052" s="59" t="s">
        <v>251</v>
      </c>
      <c r="D1052" s="58">
        <v>592.344</v>
      </c>
      <c r="E1052" s="54" t="s">
        <v>250</v>
      </c>
    </row>
    <row r="1053" spans="1:5" s="2" customFormat="1" ht="38.25">
      <c r="A1053" s="60" t="s">
        <v>280</v>
      </c>
      <c r="B1053" s="59" t="s">
        <v>279</v>
      </c>
      <c r="C1053" s="59" t="s">
        <v>251</v>
      </c>
      <c r="D1053" s="58">
        <v>1944.677</v>
      </c>
      <c r="E1053" s="54" t="s">
        <v>243</v>
      </c>
    </row>
    <row r="1054" spans="1:5" ht="38.25">
      <c r="A1054" s="60" t="s">
        <v>277</v>
      </c>
      <c r="B1054" s="59" t="s">
        <v>278</v>
      </c>
      <c r="C1054" s="59" t="s">
        <v>251</v>
      </c>
      <c r="D1054" s="58">
        <v>789.825</v>
      </c>
      <c r="E1054" s="54" t="s">
        <v>250</v>
      </c>
    </row>
    <row r="1055" spans="1:5" ht="38.25">
      <c r="A1055" s="60" t="s">
        <v>277</v>
      </c>
      <c r="B1055" s="59" t="s">
        <v>276</v>
      </c>
      <c r="C1055" s="59" t="s">
        <v>208</v>
      </c>
      <c r="D1055" s="58">
        <v>10.175</v>
      </c>
      <c r="E1055" s="54" t="s">
        <v>207</v>
      </c>
    </row>
    <row r="1056" spans="1:5" ht="38.25">
      <c r="A1056" s="61" t="s">
        <v>275</v>
      </c>
      <c r="B1056" s="59" t="s">
        <v>274</v>
      </c>
      <c r="C1056" s="59" t="s">
        <v>251</v>
      </c>
      <c r="D1056" s="58">
        <v>594.899</v>
      </c>
      <c r="E1056" s="54" t="s">
        <v>250</v>
      </c>
    </row>
    <row r="1057" spans="1:5" s="1" customFormat="1" ht="38.25">
      <c r="A1057" s="61" t="s">
        <v>275</v>
      </c>
      <c r="B1057" s="59" t="s">
        <v>274</v>
      </c>
      <c r="C1057" s="59" t="s">
        <v>208</v>
      </c>
      <c r="D1057" s="58">
        <v>5.101</v>
      </c>
      <c r="E1057" s="54" t="s">
        <v>207</v>
      </c>
    </row>
    <row r="1058" spans="1:5" s="1" customFormat="1" ht="38.25">
      <c r="A1058" s="61" t="s">
        <v>273</v>
      </c>
      <c r="B1058" s="59" t="s">
        <v>272</v>
      </c>
      <c r="C1058" s="59" t="s">
        <v>251</v>
      </c>
      <c r="D1058" s="58">
        <v>400</v>
      </c>
      <c r="E1058" s="54" t="s">
        <v>250</v>
      </c>
    </row>
    <row r="1059" spans="1:5" s="2" customFormat="1" ht="38.25">
      <c r="A1059" s="61" t="s">
        <v>270</v>
      </c>
      <c r="B1059" s="59" t="s">
        <v>271</v>
      </c>
      <c r="C1059" s="59" t="s">
        <v>251</v>
      </c>
      <c r="D1059" s="58">
        <v>592.342</v>
      </c>
      <c r="E1059" s="54" t="s">
        <v>250</v>
      </c>
    </row>
    <row r="1060" spans="1:5" s="2" customFormat="1" ht="38.25">
      <c r="A1060" s="61" t="s">
        <v>270</v>
      </c>
      <c r="B1060" s="59" t="s">
        <v>269</v>
      </c>
      <c r="C1060" s="59" t="s">
        <v>208</v>
      </c>
      <c r="D1060" s="58">
        <v>7.658</v>
      </c>
      <c r="E1060" s="54" t="s">
        <v>207</v>
      </c>
    </row>
    <row r="1061" spans="1:5" s="2" customFormat="1" ht="63.75">
      <c r="A1061" s="61" t="s">
        <v>268</v>
      </c>
      <c r="B1061" s="59" t="s">
        <v>267</v>
      </c>
      <c r="C1061" s="59" t="s">
        <v>251</v>
      </c>
      <c r="D1061" s="58">
        <v>1299.62752</v>
      </c>
      <c r="E1061" s="54" t="s">
        <v>250</v>
      </c>
    </row>
    <row r="1062" spans="1:5" s="2" customFormat="1" ht="38.25">
      <c r="A1062" s="61" t="s">
        <v>266</v>
      </c>
      <c r="B1062" s="59" t="s">
        <v>265</v>
      </c>
      <c r="C1062" s="59" t="s">
        <v>251</v>
      </c>
      <c r="D1062" s="58">
        <v>200</v>
      </c>
      <c r="E1062" s="54" t="s">
        <v>250</v>
      </c>
    </row>
    <row r="1063" spans="1:5" s="1" customFormat="1" ht="38.25">
      <c r="A1063" s="60" t="s">
        <v>263</v>
      </c>
      <c r="B1063" s="59" t="s">
        <v>262</v>
      </c>
      <c r="C1063" s="59" t="s">
        <v>251</v>
      </c>
      <c r="D1063" s="58">
        <v>288.074</v>
      </c>
      <c r="E1063" s="54" t="s">
        <v>264</v>
      </c>
    </row>
    <row r="1064" spans="1:5" s="1" customFormat="1" ht="38.25">
      <c r="A1064" s="60" t="s">
        <v>263</v>
      </c>
      <c r="B1064" s="59" t="s">
        <v>262</v>
      </c>
      <c r="C1064" s="59" t="s">
        <v>208</v>
      </c>
      <c r="D1064" s="58">
        <v>11.926</v>
      </c>
      <c r="E1064" s="54" t="s">
        <v>207</v>
      </c>
    </row>
    <row r="1065" spans="1:5" s="1" customFormat="1" ht="51">
      <c r="A1065" s="60" t="s">
        <v>261</v>
      </c>
      <c r="B1065" s="59" t="s">
        <v>260</v>
      </c>
      <c r="C1065" s="59" t="s">
        <v>208</v>
      </c>
      <c r="D1065" s="58">
        <v>5.72</v>
      </c>
      <c r="E1065" s="54" t="s">
        <v>207</v>
      </c>
    </row>
    <row r="1066" spans="1:5" s="1" customFormat="1" ht="51">
      <c r="A1066" s="60" t="s">
        <v>261</v>
      </c>
      <c r="B1066" s="59" t="s">
        <v>260</v>
      </c>
      <c r="C1066" s="59" t="s">
        <v>251</v>
      </c>
      <c r="D1066" s="58">
        <v>594.28</v>
      </c>
      <c r="E1066" s="54" t="s">
        <v>250</v>
      </c>
    </row>
    <row r="1067" spans="1:5" s="1" customFormat="1" ht="51">
      <c r="A1067" s="60" t="s">
        <v>259</v>
      </c>
      <c r="B1067" s="59" t="s">
        <v>258</v>
      </c>
      <c r="C1067" s="59" t="s">
        <v>251</v>
      </c>
      <c r="D1067" s="58">
        <v>888.049</v>
      </c>
      <c r="E1067" s="54" t="s">
        <v>250</v>
      </c>
    </row>
    <row r="1068" spans="1:5" s="1" customFormat="1" ht="51">
      <c r="A1068" s="60" t="s">
        <v>257</v>
      </c>
      <c r="B1068" s="59" t="s">
        <v>256</v>
      </c>
      <c r="C1068" s="59" t="s">
        <v>208</v>
      </c>
      <c r="D1068" s="58">
        <v>11.024</v>
      </c>
      <c r="E1068" s="54" t="s">
        <v>207</v>
      </c>
    </row>
    <row r="1069" spans="1:5" s="1" customFormat="1" ht="38.25">
      <c r="A1069" s="60" t="s">
        <v>255</v>
      </c>
      <c r="B1069" s="59" t="s">
        <v>254</v>
      </c>
      <c r="C1069" s="59" t="s">
        <v>251</v>
      </c>
      <c r="D1069" s="58">
        <v>400</v>
      </c>
      <c r="E1069" s="54" t="s">
        <v>250</v>
      </c>
    </row>
    <row r="1070" spans="1:5" s="1" customFormat="1" ht="38.25">
      <c r="A1070" s="60" t="s">
        <v>253</v>
      </c>
      <c r="B1070" s="59" t="s">
        <v>252</v>
      </c>
      <c r="C1070" s="59" t="s">
        <v>251</v>
      </c>
      <c r="D1070" s="58">
        <v>200</v>
      </c>
      <c r="E1070" s="54" t="s">
        <v>250</v>
      </c>
    </row>
    <row r="1071" spans="1:5" s="1" customFormat="1" ht="54" customHeight="1">
      <c r="A1071" s="61" t="s">
        <v>249</v>
      </c>
      <c r="B1071" s="59" t="s">
        <v>248</v>
      </c>
      <c r="C1071" s="59" t="s">
        <v>244</v>
      </c>
      <c r="D1071" s="63">
        <v>400</v>
      </c>
      <c r="E1071" s="54" t="s">
        <v>247</v>
      </c>
    </row>
    <row r="1072" spans="1:5" s="1" customFormat="1" ht="54" customHeight="1">
      <c r="A1072" s="60" t="s">
        <v>246</v>
      </c>
      <c r="B1072" s="59" t="s">
        <v>245</v>
      </c>
      <c r="C1072" s="59" t="s">
        <v>244</v>
      </c>
      <c r="D1072" s="63">
        <v>630</v>
      </c>
      <c r="E1072" s="54" t="s">
        <v>243</v>
      </c>
    </row>
    <row r="1073" spans="1:5" s="2" customFormat="1" ht="57.75" customHeight="1">
      <c r="A1073" s="60" t="s">
        <v>242</v>
      </c>
      <c r="B1073" s="59" t="s">
        <v>241</v>
      </c>
      <c r="C1073" s="59" t="s">
        <v>234</v>
      </c>
      <c r="D1073" s="58">
        <v>74.98</v>
      </c>
      <c r="E1073" s="54" t="s">
        <v>240</v>
      </c>
    </row>
    <row r="1074" spans="1:5" s="1" customFormat="1" ht="38.25">
      <c r="A1074" s="61" t="s">
        <v>239</v>
      </c>
      <c r="B1074" s="59" t="s">
        <v>238</v>
      </c>
      <c r="C1074" s="59" t="s">
        <v>234</v>
      </c>
      <c r="D1074" s="55">
        <v>315.79</v>
      </c>
      <c r="E1074" s="54" t="s">
        <v>237</v>
      </c>
    </row>
    <row r="1075" spans="1:5" s="2" customFormat="1" ht="38.25">
      <c r="A1075" s="60" t="s">
        <v>236</v>
      </c>
      <c r="B1075" s="59" t="s">
        <v>235</v>
      </c>
      <c r="C1075" s="59" t="s">
        <v>234</v>
      </c>
      <c r="D1075" s="58">
        <v>1701.717</v>
      </c>
      <c r="E1075" s="54" t="s">
        <v>233</v>
      </c>
    </row>
    <row r="1076" spans="1:5" s="2" customFormat="1" ht="38.25">
      <c r="A1076" s="61" t="s">
        <v>232</v>
      </c>
      <c r="B1076" s="60" t="s">
        <v>231</v>
      </c>
      <c r="C1076" s="62" t="s">
        <v>222</v>
      </c>
      <c r="D1076" s="58">
        <v>81</v>
      </c>
      <c r="E1076" s="54" t="s">
        <v>221</v>
      </c>
    </row>
    <row r="1077" spans="1:5" s="2" customFormat="1" ht="25.5">
      <c r="A1077" s="61" t="s">
        <v>230</v>
      </c>
      <c r="B1077" s="60" t="s">
        <v>229</v>
      </c>
      <c r="C1077" s="59" t="s">
        <v>222</v>
      </c>
      <c r="D1077" s="58">
        <v>23.51634</v>
      </c>
      <c r="E1077" s="54" t="s">
        <v>221</v>
      </c>
    </row>
    <row r="1078" spans="1:5" s="2" customFormat="1" ht="38.25">
      <c r="A1078" s="57" t="s">
        <v>228</v>
      </c>
      <c r="B1078" s="60" t="s">
        <v>227</v>
      </c>
      <c r="C1078" s="59" t="s">
        <v>222</v>
      </c>
      <c r="D1078" s="58">
        <v>15</v>
      </c>
      <c r="E1078" s="54" t="s">
        <v>221</v>
      </c>
    </row>
    <row r="1079" spans="1:5" s="2" customFormat="1" ht="25.5">
      <c r="A1079" s="61" t="s">
        <v>226</v>
      </c>
      <c r="B1079" s="60" t="s">
        <v>225</v>
      </c>
      <c r="C1079" s="59" t="s">
        <v>222</v>
      </c>
      <c r="D1079" s="58">
        <v>30</v>
      </c>
      <c r="E1079" s="54" t="s">
        <v>221</v>
      </c>
    </row>
    <row r="1080" spans="1:5" s="2" customFormat="1" ht="38.25">
      <c r="A1080" s="61" t="s">
        <v>224</v>
      </c>
      <c r="B1080" s="60" t="s">
        <v>223</v>
      </c>
      <c r="C1080" s="59" t="s">
        <v>222</v>
      </c>
      <c r="D1080" s="58">
        <v>21</v>
      </c>
      <c r="E1080" s="54" t="s">
        <v>221</v>
      </c>
    </row>
    <row r="1081" spans="1:5" s="2" customFormat="1" ht="25.5">
      <c r="A1081" s="61" t="s">
        <v>220</v>
      </c>
      <c r="B1081" s="60" t="s">
        <v>219</v>
      </c>
      <c r="C1081" s="59" t="s">
        <v>211</v>
      </c>
      <c r="D1081" s="58">
        <v>12.668</v>
      </c>
      <c r="E1081" s="54" t="s">
        <v>68</v>
      </c>
    </row>
    <row r="1082" spans="1:5" s="2" customFormat="1" ht="25.5">
      <c r="A1082" s="61" t="s">
        <v>209</v>
      </c>
      <c r="B1082" s="60" t="s">
        <v>218</v>
      </c>
      <c r="C1082" s="59" t="s">
        <v>211</v>
      </c>
      <c r="D1082" s="58">
        <v>11.739</v>
      </c>
      <c r="E1082" s="54" t="s">
        <v>68</v>
      </c>
    </row>
    <row r="1083" spans="1:5" s="2" customFormat="1" ht="93.75" customHeight="1">
      <c r="A1083" s="61" t="s">
        <v>217</v>
      </c>
      <c r="B1083" s="60" t="s">
        <v>216</v>
      </c>
      <c r="C1083" s="59" t="s">
        <v>211</v>
      </c>
      <c r="D1083" s="58">
        <v>10.457</v>
      </c>
      <c r="E1083" s="54" t="s">
        <v>68</v>
      </c>
    </row>
    <row r="1084" spans="1:5" s="2" customFormat="1" ht="25.5">
      <c r="A1084" s="61" t="s">
        <v>215</v>
      </c>
      <c r="B1084" s="60" t="s">
        <v>214</v>
      </c>
      <c r="C1084" s="59" t="s">
        <v>211</v>
      </c>
      <c r="D1084" s="58">
        <v>57.453</v>
      </c>
      <c r="E1084" s="54" t="s">
        <v>68</v>
      </c>
    </row>
    <row r="1085" spans="1:5" s="2" customFormat="1" ht="25.5">
      <c r="A1085" s="56" t="s">
        <v>213</v>
      </c>
      <c r="B1085" s="60" t="s">
        <v>212</v>
      </c>
      <c r="C1085" s="59" t="s">
        <v>211</v>
      </c>
      <c r="D1085" s="58">
        <v>103.606</v>
      </c>
      <c r="E1085" s="54" t="s">
        <v>68</v>
      </c>
    </row>
    <row r="1086" spans="1:5" s="1" customFormat="1" ht="25.5">
      <c r="A1086" s="57" t="s">
        <v>210</v>
      </c>
      <c r="B1086" s="57" t="s">
        <v>203</v>
      </c>
      <c r="C1086" s="57" t="s">
        <v>203</v>
      </c>
      <c r="D1086" s="55">
        <v>29.52</v>
      </c>
      <c r="E1086" s="57" t="s">
        <v>202</v>
      </c>
    </row>
    <row r="1087" spans="1:5" s="1" customFormat="1" ht="15">
      <c r="A1087" s="57" t="s">
        <v>210</v>
      </c>
      <c r="B1087" s="57" t="s">
        <v>208</v>
      </c>
      <c r="C1087" s="57" t="s">
        <v>208</v>
      </c>
      <c r="D1087" s="55">
        <v>0.38211</v>
      </c>
      <c r="E1087" s="57" t="s">
        <v>207</v>
      </c>
    </row>
    <row r="1088" spans="1:5" s="1" customFormat="1" ht="25.5">
      <c r="A1088" s="57" t="s">
        <v>209</v>
      </c>
      <c r="B1088" s="56" t="s">
        <v>203</v>
      </c>
      <c r="C1088" s="56" t="s">
        <v>203</v>
      </c>
      <c r="D1088" s="55">
        <v>197.144</v>
      </c>
      <c r="E1088" s="54" t="s">
        <v>202</v>
      </c>
    </row>
    <row r="1089" spans="1:5" ht="15">
      <c r="A1089" s="57" t="s">
        <v>209</v>
      </c>
      <c r="B1089" s="56" t="s">
        <v>208</v>
      </c>
      <c r="C1089" s="56" t="s">
        <v>208</v>
      </c>
      <c r="D1089" s="55">
        <v>2.501</v>
      </c>
      <c r="E1089" s="54" t="s">
        <v>207</v>
      </c>
    </row>
    <row r="1090" spans="1:5" ht="25.5">
      <c r="A1090" s="53" t="s">
        <v>206</v>
      </c>
      <c r="B1090" s="35" t="s">
        <v>205</v>
      </c>
      <c r="C1090" s="35" t="s">
        <v>205</v>
      </c>
      <c r="D1090" s="52">
        <v>170.041</v>
      </c>
      <c r="E1090" s="51" t="s">
        <v>202</v>
      </c>
    </row>
    <row r="1091" spans="1:6" ht="25.5">
      <c r="A1091" s="53" t="s">
        <v>204</v>
      </c>
      <c r="B1091" s="35" t="s">
        <v>203</v>
      </c>
      <c r="C1091" s="35" t="s">
        <v>203</v>
      </c>
      <c r="D1091" s="52">
        <v>198.91016</v>
      </c>
      <c r="E1091" s="51" t="s">
        <v>202</v>
      </c>
      <c r="F1091" s="50"/>
    </row>
    <row r="1092" spans="1:5" s="2" customFormat="1" ht="15">
      <c r="A1092" s="49"/>
      <c r="B1092" s="49" t="s">
        <v>1</v>
      </c>
      <c r="C1092" s="47" t="s">
        <v>0</v>
      </c>
      <c r="D1092" s="48">
        <f>SUM(D1044:D1091)</f>
        <v>15530.80213</v>
      </c>
      <c r="E1092" s="47" t="s">
        <v>0</v>
      </c>
    </row>
    <row r="1093" spans="1:5" s="2" customFormat="1" ht="15">
      <c r="A1093" s="46" t="s">
        <v>201</v>
      </c>
      <c r="B1093" s="46"/>
      <c r="C1093" s="46"/>
      <c r="D1093" s="46"/>
      <c r="E1093" s="46"/>
    </row>
    <row r="1094" spans="1:5" ht="15">
      <c r="A1094" s="23" t="s">
        <v>200</v>
      </c>
      <c r="B1094" s="17" t="s">
        <v>199</v>
      </c>
      <c r="C1094" s="27" t="s">
        <v>146</v>
      </c>
      <c r="D1094" s="13">
        <v>184.67901</v>
      </c>
      <c r="E1094" s="12" t="s">
        <v>149</v>
      </c>
    </row>
    <row r="1095" spans="1:5" ht="47.25" customHeight="1">
      <c r="A1095" s="20"/>
      <c r="B1095" s="15"/>
      <c r="C1095" s="26"/>
      <c r="D1095" s="13">
        <v>2.72782</v>
      </c>
      <c r="E1095" s="12" t="s">
        <v>3</v>
      </c>
    </row>
    <row r="1096" spans="1:5" ht="15">
      <c r="A1096" s="23" t="s">
        <v>198</v>
      </c>
      <c r="B1096" s="17" t="s">
        <v>197</v>
      </c>
      <c r="C1096" s="27" t="s">
        <v>146</v>
      </c>
      <c r="D1096" s="13">
        <v>197.0248</v>
      </c>
      <c r="E1096" s="12" t="s">
        <v>152</v>
      </c>
    </row>
    <row r="1097" spans="1:5" ht="63" customHeight="1">
      <c r="A1097" s="20"/>
      <c r="B1097" s="15"/>
      <c r="C1097" s="26"/>
      <c r="D1097" s="13">
        <v>2.95107</v>
      </c>
      <c r="E1097" s="12" t="s">
        <v>3</v>
      </c>
    </row>
    <row r="1098" spans="1:5" ht="15">
      <c r="A1098" s="23" t="s">
        <v>196</v>
      </c>
      <c r="B1098" s="17" t="s">
        <v>195</v>
      </c>
      <c r="C1098" s="27" t="s">
        <v>146</v>
      </c>
      <c r="D1098" s="13">
        <v>137.04444</v>
      </c>
      <c r="E1098" s="12" t="s">
        <v>4</v>
      </c>
    </row>
    <row r="1099" spans="1:5" ht="69.75" customHeight="1">
      <c r="A1099" s="20"/>
      <c r="B1099" s="15"/>
      <c r="C1099" s="26"/>
      <c r="D1099" s="13">
        <v>2.00134</v>
      </c>
      <c r="E1099" s="12" t="s">
        <v>3</v>
      </c>
    </row>
    <row r="1100" spans="1:5" ht="15">
      <c r="A1100" s="23" t="s">
        <v>194</v>
      </c>
      <c r="B1100" s="17" t="s">
        <v>193</v>
      </c>
      <c r="C1100" s="27" t="s">
        <v>146</v>
      </c>
      <c r="D1100" s="13">
        <v>197.092521</v>
      </c>
      <c r="E1100" s="12" t="s">
        <v>149</v>
      </c>
    </row>
    <row r="1101" spans="1:5" ht="75" customHeight="1">
      <c r="A1101" s="20"/>
      <c r="B1101" s="15"/>
      <c r="C1101" s="26"/>
      <c r="D1101" s="13">
        <v>2.90345</v>
      </c>
      <c r="E1101" s="12" t="s">
        <v>3</v>
      </c>
    </row>
    <row r="1102" spans="1:5" ht="15">
      <c r="A1102" s="23" t="s">
        <v>192</v>
      </c>
      <c r="B1102" s="17" t="s">
        <v>191</v>
      </c>
      <c r="C1102" s="27" t="s">
        <v>146</v>
      </c>
      <c r="D1102" s="13">
        <v>197.0064</v>
      </c>
      <c r="E1102" s="21" t="s">
        <v>190</v>
      </c>
    </row>
    <row r="1103" spans="1:5" ht="69" customHeight="1">
      <c r="A1103" s="20"/>
      <c r="B1103" s="15"/>
      <c r="C1103" s="26"/>
      <c r="D1103" s="13">
        <v>2.92247</v>
      </c>
      <c r="E1103" s="12" t="s">
        <v>3</v>
      </c>
    </row>
    <row r="1104" spans="1:5" ht="15">
      <c r="A1104" s="23" t="s">
        <v>189</v>
      </c>
      <c r="B1104" s="17" t="s">
        <v>188</v>
      </c>
      <c r="C1104" s="27" t="s">
        <v>146</v>
      </c>
      <c r="D1104" s="13">
        <v>196.94764</v>
      </c>
      <c r="E1104" s="12" t="s">
        <v>149</v>
      </c>
    </row>
    <row r="1105" spans="1:5" s="1" customFormat="1" ht="54" customHeight="1">
      <c r="A1105" s="20"/>
      <c r="B1105" s="15"/>
      <c r="C1105" s="26"/>
      <c r="D1105" s="13">
        <v>2.90193</v>
      </c>
      <c r="E1105" s="12" t="s">
        <v>3</v>
      </c>
    </row>
    <row r="1106" spans="1:5" s="1" customFormat="1" ht="15">
      <c r="A1106" s="23" t="s">
        <v>187</v>
      </c>
      <c r="B1106" s="17" t="s">
        <v>186</v>
      </c>
      <c r="C1106" s="27" t="s">
        <v>146</v>
      </c>
      <c r="D1106" s="13">
        <v>197.03882</v>
      </c>
      <c r="E1106" s="12" t="s">
        <v>149</v>
      </c>
    </row>
    <row r="1107" spans="1:5" s="1" customFormat="1" ht="58.5" customHeight="1">
      <c r="A1107" s="20"/>
      <c r="B1107" s="15"/>
      <c r="C1107" s="26"/>
      <c r="D1107" s="13">
        <v>2.90937</v>
      </c>
      <c r="E1107" s="12" t="s">
        <v>3</v>
      </c>
    </row>
    <row r="1108" spans="1:5" s="1" customFormat="1" ht="15">
      <c r="A1108" s="23" t="s">
        <v>185</v>
      </c>
      <c r="B1108" s="17" t="s">
        <v>184</v>
      </c>
      <c r="C1108" s="27" t="s">
        <v>146</v>
      </c>
      <c r="D1108" s="13">
        <v>196.98065</v>
      </c>
      <c r="E1108" s="12" t="s">
        <v>149</v>
      </c>
    </row>
    <row r="1109" spans="1:5" s="1" customFormat="1" ht="75.75" customHeight="1">
      <c r="A1109" s="20"/>
      <c r="B1109" s="15"/>
      <c r="C1109" s="26"/>
      <c r="D1109" s="13">
        <v>2.91506</v>
      </c>
      <c r="E1109" s="12" t="s">
        <v>3</v>
      </c>
    </row>
    <row r="1110" spans="1:5" s="1" customFormat="1" ht="15">
      <c r="A1110" s="23" t="s">
        <v>183</v>
      </c>
      <c r="B1110" s="17" t="s">
        <v>182</v>
      </c>
      <c r="C1110" s="27" t="s">
        <v>146</v>
      </c>
      <c r="D1110" s="13">
        <v>197.01463</v>
      </c>
      <c r="E1110" s="12" t="s">
        <v>149</v>
      </c>
    </row>
    <row r="1111" spans="1:5" s="1" customFormat="1" ht="58.5" customHeight="1">
      <c r="A1111" s="20"/>
      <c r="B1111" s="15"/>
      <c r="C1111" s="26"/>
      <c r="D1111" s="13">
        <v>2.91241</v>
      </c>
      <c r="E1111" s="12" t="s">
        <v>3</v>
      </c>
    </row>
    <row r="1112" spans="1:5" s="1" customFormat="1" ht="15">
      <c r="A1112" s="23" t="s">
        <v>181</v>
      </c>
      <c r="B1112" s="17" t="s">
        <v>180</v>
      </c>
      <c r="C1112" s="27" t="s">
        <v>146</v>
      </c>
      <c r="D1112" s="13">
        <v>196.97116</v>
      </c>
      <c r="E1112" s="12" t="s">
        <v>4</v>
      </c>
    </row>
    <row r="1113" spans="1:5" s="1" customFormat="1" ht="64.5" customHeight="1">
      <c r="A1113" s="42"/>
      <c r="B1113" s="42"/>
      <c r="C1113" s="42"/>
      <c r="D1113" s="13">
        <v>2.88264</v>
      </c>
      <c r="E1113" s="12" t="s">
        <v>3</v>
      </c>
    </row>
    <row r="1114" spans="1:5" s="1" customFormat="1" ht="15">
      <c r="A1114" s="23" t="s">
        <v>179</v>
      </c>
      <c r="B1114" s="17" t="s">
        <v>178</v>
      </c>
      <c r="C1114" s="27" t="s">
        <v>146</v>
      </c>
      <c r="D1114" s="13">
        <v>196.99768</v>
      </c>
      <c r="E1114" s="12" t="s">
        <v>49</v>
      </c>
    </row>
    <row r="1115" spans="1:5" s="1" customFormat="1" ht="60" customHeight="1">
      <c r="A1115" s="20"/>
      <c r="B1115" s="15"/>
      <c r="C1115" s="26"/>
      <c r="D1115" s="13">
        <v>2.85594</v>
      </c>
      <c r="E1115" s="12" t="s">
        <v>3</v>
      </c>
    </row>
    <row r="1116" spans="1:5" s="1" customFormat="1" ht="15">
      <c r="A1116" s="23" t="s">
        <v>177</v>
      </c>
      <c r="B1116" s="17" t="s">
        <v>176</v>
      </c>
      <c r="C1116" s="27" t="s">
        <v>146</v>
      </c>
      <c r="D1116" s="13">
        <v>172.37033</v>
      </c>
      <c r="E1116" s="12" t="s">
        <v>149</v>
      </c>
    </row>
    <row r="1117" spans="1:5" s="1" customFormat="1" ht="69.75" customHeight="1">
      <c r="A1117" s="20"/>
      <c r="B1117" s="15"/>
      <c r="C1117" s="26"/>
      <c r="D1117" s="25">
        <v>2.52199</v>
      </c>
      <c r="E1117" s="12" t="s">
        <v>3</v>
      </c>
    </row>
    <row r="1118" spans="1:5" s="1" customFormat="1" ht="15">
      <c r="A1118" s="23" t="s">
        <v>175</v>
      </c>
      <c r="B1118" s="22" t="s">
        <v>174</v>
      </c>
      <c r="C1118" s="45" t="s">
        <v>146</v>
      </c>
      <c r="D1118" s="43">
        <v>197.03</v>
      </c>
      <c r="E1118" s="12" t="s">
        <v>152</v>
      </c>
    </row>
    <row r="1119" spans="1:5" s="1" customFormat="1" ht="50.25" customHeight="1">
      <c r="A1119" s="20"/>
      <c r="B1119" s="19"/>
      <c r="C1119" s="44"/>
      <c r="D1119" s="43">
        <v>2.95071</v>
      </c>
      <c r="E1119" s="12" t="s">
        <v>3</v>
      </c>
    </row>
    <row r="1120" spans="1:5" s="1" customFormat="1" ht="15">
      <c r="A1120" s="23" t="s">
        <v>173</v>
      </c>
      <c r="B1120" s="17" t="s">
        <v>172</v>
      </c>
      <c r="C1120" s="27" t="s">
        <v>146</v>
      </c>
      <c r="D1120" s="13">
        <v>156.40671</v>
      </c>
      <c r="E1120" s="12" t="s">
        <v>149</v>
      </c>
    </row>
    <row r="1121" spans="1:5" s="1" customFormat="1" ht="72.75" customHeight="1">
      <c r="A1121" s="20"/>
      <c r="B1121" s="15"/>
      <c r="C1121" s="26"/>
      <c r="D1121" s="13">
        <v>2.31598</v>
      </c>
      <c r="E1121" s="12" t="s">
        <v>3</v>
      </c>
    </row>
    <row r="1122" spans="1:5" s="1" customFormat="1" ht="15">
      <c r="A1122" s="23" t="s">
        <v>171</v>
      </c>
      <c r="B1122" s="17" t="s">
        <v>170</v>
      </c>
      <c r="C1122" s="27" t="s">
        <v>146</v>
      </c>
      <c r="D1122" s="13">
        <v>196.817</v>
      </c>
      <c r="E1122" s="21" t="s">
        <v>169</v>
      </c>
    </row>
    <row r="1123" spans="1:5" s="1" customFormat="1" ht="63.75" customHeight="1">
      <c r="A1123" s="20"/>
      <c r="B1123" s="15"/>
      <c r="C1123" s="26"/>
      <c r="D1123" s="13">
        <v>2.94219</v>
      </c>
      <c r="E1123" s="12" t="s">
        <v>3</v>
      </c>
    </row>
    <row r="1124" spans="1:5" s="1" customFormat="1" ht="15">
      <c r="A1124" s="23" t="s">
        <v>168</v>
      </c>
      <c r="B1124" s="17" t="s">
        <v>167</v>
      </c>
      <c r="C1124" s="27" t="s">
        <v>146</v>
      </c>
      <c r="D1124" s="13">
        <v>112.10263</v>
      </c>
      <c r="E1124" s="12" t="s">
        <v>149</v>
      </c>
    </row>
    <row r="1125" spans="1:5" s="1" customFormat="1" ht="40.5" customHeight="1">
      <c r="A1125" s="20"/>
      <c r="B1125" s="15"/>
      <c r="C1125" s="26"/>
      <c r="D1125" s="13">
        <v>1.64716</v>
      </c>
      <c r="E1125" s="21" t="s">
        <v>99</v>
      </c>
    </row>
    <row r="1126" spans="1:5" s="1" customFormat="1" ht="15">
      <c r="A1126" s="23" t="s">
        <v>166</v>
      </c>
      <c r="B1126" s="17" t="s">
        <v>165</v>
      </c>
      <c r="C1126" s="27" t="s">
        <v>146</v>
      </c>
      <c r="D1126" s="13">
        <v>177.32841</v>
      </c>
      <c r="E1126" s="12" t="s">
        <v>149</v>
      </c>
    </row>
    <row r="1127" spans="1:5" s="1" customFormat="1" ht="47.25" customHeight="1">
      <c r="A1127" s="20"/>
      <c r="B1127" s="15"/>
      <c r="C1127" s="26"/>
      <c r="D1127" s="13">
        <v>2.61862</v>
      </c>
      <c r="E1127" s="21" t="s">
        <v>99</v>
      </c>
    </row>
    <row r="1128" spans="1:5" s="1" customFormat="1" ht="15" customHeight="1">
      <c r="A1128" s="23" t="s">
        <v>164</v>
      </c>
      <c r="B1128" s="17" t="s">
        <v>163</v>
      </c>
      <c r="C1128" s="27" t="s">
        <v>146</v>
      </c>
      <c r="D1128" s="13">
        <v>136.78984</v>
      </c>
      <c r="E1128" s="12" t="s">
        <v>149</v>
      </c>
    </row>
    <row r="1129" spans="1:5" s="1" customFormat="1" ht="62.25" customHeight="1">
      <c r="A1129" s="20"/>
      <c r="B1129" s="15"/>
      <c r="C1129" s="26"/>
      <c r="D1129" s="13">
        <v>2.00488</v>
      </c>
      <c r="E1129" s="21" t="s">
        <v>99</v>
      </c>
    </row>
    <row r="1130" spans="1:5" s="1" customFormat="1" ht="15">
      <c r="A1130" s="23" t="s">
        <v>162</v>
      </c>
      <c r="B1130" s="17" t="s">
        <v>161</v>
      </c>
      <c r="C1130" s="27" t="s">
        <v>146</v>
      </c>
      <c r="D1130" s="13">
        <v>156.73543</v>
      </c>
      <c r="E1130" s="12" t="s">
        <v>149</v>
      </c>
    </row>
    <row r="1131" spans="1:5" s="1" customFormat="1" ht="63" customHeight="1">
      <c r="A1131" s="20"/>
      <c r="B1131" s="15"/>
      <c r="C1131" s="26"/>
      <c r="D1131" s="13">
        <v>2.30873</v>
      </c>
      <c r="E1131" s="21" t="s">
        <v>99</v>
      </c>
    </row>
    <row r="1132" spans="1:5" s="1" customFormat="1" ht="15">
      <c r="A1132" s="23" t="s">
        <v>160</v>
      </c>
      <c r="B1132" s="17" t="s">
        <v>159</v>
      </c>
      <c r="C1132" s="27" t="s">
        <v>146</v>
      </c>
      <c r="D1132" s="13">
        <v>170.03158</v>
      </c>
      <c r="E1132" s="12" t="s">
        <v>49</v>
      </c>
    </row>
    <row r="1133" spans="1:5" s="1" customFormat="1" ht="75.75" customHeight="1">
      <c r="A1133" s="20"/>
      <c r="B1133" s="15"/>
      <c r="C1133" s="26"/>
      <c r="D1133" s="13">
        <v>2.47314</v>
      </c>
      <c r="E1133" s="12" t="s">
        <v>3</v>
      </c>
    </row>
    <row r="1134" spans="1:5" s="1" customFormat="1" ht="15">
      <c r="A1134" s="23" t="s">
        <v>158</v>
      </c>
      <c r="B1134" s="17" t="s">
        <v>157</v>
      </c>
      <c r="C1134" s="27" t="s">
        <v>146</v>
      </c>
      <c r="D1134" s="13">
        <v>196.9432</v>
      </c>
      <c r="E1134" s="12" t="s">
        <v>149</v>
      </c>
    </row>
    <row r="1135" spans="1:5" s="1" customFormat="1" ht="69" customHeight="1">
      <c r="A1135" s="20"/>
      <c r="B1135" s="15"/>
      <c r="C1135" s="26"/>
      <c r="D1135" s="13">
        <v>2.90625</v>
      </c>
      <c r="E1135" s="12" t="s">
        <v>3</v>
      </c>
    </row>
    <row r="1136" spans="1:5" s="1" customFormat="1" ht="15">
      <c r="A1136" s="23" t="s">
        <v>156</v>
      </c>
      <c r="B1136" s="17" t="s">
        <v>155</v>
      </c>
      <c r="C1136" s="27" t="s">
        <v>146</v>
      </c>
      <c r="D1136" s="13">
        <v>196.98871</v>
      </c>
      <c r="E1136" s="12" t="s">
        <v>149</v>
      </c>
    </row>
    <row r="1137" spans="1:5" s="1" customFormat="1" ht="64.5" customHeight="1">
      <c r="A1137" s="20"/>
      <c r="B1137" s="15"/>
      <c r="C1137" s="26"/>
      <c r="D1137" s="13">
        <v>2.89023</v>
      </c>
      <c r="E1137" s="12" t="s">
        <v>3</v>
      </c>
    </row>
    <row r="1138" spans="1:5" s="1" customFormat="1" ht="15">
      <c r="A1138" s="23" t="s">
        <v>154</v>
      </c>
      <c r="B1138" s="17" t="s">
        <v>153</v>
      </c>
      <c r="C1138" s="27" t="s">
        <v>146</v>
      </c>
      <c r="D1138" s="13">
        <v>17.445</v>
      </c>
      <c r="E1138" s="12" t="s">
        <v>152</v>
      </c>
    </row>
    <row r="1139" spans="1:5" s="1" customFormat="1" ht="65.25" customHeight="1">
      <c r="A1139" s="20"/>
      <c r="B1139" s="15"/>
      <c r="C1139" s="26"/>
      <c r="D1139" s="13">
        <v>0.25974</v>
      </c>
      <c r="E1139" s="12" t="s">
        <v>3</v>
      </c>
    </row>
    <row r="1140" spans="1:5" s="1" customFormat="1" ht="15">
      <c r="A1140" s="23" t="s">
        <v>151</v>
      </c>
      <c r="B1140" s="17" t="s">
        <v>150</v>
      </c>
      <c r="C1140" s="27" t="s">
        <v>146</v>
      </c>
      <c r="D1140" s="13">
        <v>70.45356</v>
      </c>
      <c r="E1140" s="12" t="s">
        <v>4</v>
      </c>
    </row>
    <row r="1141" spans="1:5" s="1" customFormat="1" ht="63.75" customHeight="1">
      <c r="A1141" s="20"/>
      <c r="B1141" s="15"/>
      <c r="C1141" s="26"/>
      <c r="D1141" s="13">
        <v>1.02621</v>
      </c>
      <c r="E1141" s="12" t="s">
        <v>3</v>
      </c>
    </row>
    <row r="1142" spans="1:5" s="1" customFormat="1" ht="15">
      <c r="A1142" s="23" t="s">
        <v>148</v>
      </c>
      <c r="B1142" s="17" t="s">
        <v>147</v>
      </c>
      <c r="C1142" s="27" t="s">
        <v>146</v>
      </c>
      <c r="D1142" s="13">
        <v>19.58474</v>
      </c>
      <c r="E1142" s="12" t="s">
        <v>149</v>
      </c>
    </row>
    <row r="1143" spans="1:5" s="1" customFormat="1" ht="67.5" customHeight="1">
      <c r="A1143" s="20"/>
      <c r="B1143" s="15"/>
      <c r="C1143" s="26"/>
      <c r="D1143" s="13">
        <v>0.28459</v>
      </c>
      <c r="E1143" s="12" t="s">
        <v>3</v>
      </c>
    </row>
    <row r="1144" spans="1:5" s="1" customFormat="1" ht="15">
      <c r="A1144" s="23" t="s">
        <v>148</v>
      </c>
      <c r="B1144" s="17" t="s">
        <v>147</v>
      </c>
      <c r="C1144" s="27" t="s">
        <v>146</v>
      </c>
      <c r="D1144" s="13">
        <v>15.69541</v>
      </c>
      <c r="E1144" s="12" t="s">
        <v>145</v>
      </c>
    </row>
    <row r="1145" spans="1:5" s="1" customFormat="1" ht="72.75" customHeight="1">
      <c r="A1145" s="20"/>
      <c r="B1145" s="42"/>
      <c r="C1145" s="42"/>
      <c r="D1145" s="13">
        <v>0.22687</v>
      </c>
      <c r="E1145" s="21" t="s">
        <v>99</v>
      </c>
    </row>
    <row r="1146" spans="1:5" s="1" customFormat="1" ht="15">
      <c r="A1146" s="7" t="s">
        <v>62</v>
      </c>
      <c r="B1146" s="29"/>
      <c r="C1146" s="33"/>
      <c r="D1146" s="5">
        <f>SUM(D1094:D1145)</f>
        <v>4147.7810910000035</v>
      </c>
      <c r="E1146" s="8"/>
    </row>
    <row r="1147" spans="1:5" s="1" customFormat="1" ht="15">
      <c r="A1147" s="32" t="s">
        <v>144</v>
      </c>
      <c r="B1147" s="22" t="s">
        <v>143</v>
      </c>
      <c r="C1147" s="16" t="s">
        <v>94</v>
      </c>
      <c r="D1147" s="13">
        <v>147.32034</v>
      </c>
      <c r="E1147" s="10" t="s">
        <v>120</v>
      </c>
    </row>
    <row r="1148" spans="1:5" s="1" customFormat="1" ht="46.5" customHeight="1">
      <c r="A1148" s="31"/>
      <c r="B1148" s="19"/>
      <c r="C1148" s="14"/>
      <c r="D1148" s="13">
        <v>2.16305</v>
      </c>
      <c r="E1148" s="10" t="s">
        <v>92</v>
      </c>
    </row>
    <row r="1149" spans="1:5" s="1" customFormat="1" ht="15">
      <c r="A1149" s="32" t="s">
        <v>142</v>
      </c>
      <c r="B1149" s="22" t="s">
        <v>141</v>
      </c>
      <c r="C1149" s="16" t="s">
        <v>94</v>
      </c>
      <c r="D1149" s="41">
        <v>180.37149</v>
      </c>
      <c r="E1149" s="10" t="s">
        <v>120</v>
      </c>
    </row>
    <row r="1150" spans="1:5" s="1" customFormat="1" ht="39" customHeight="1">
      <c r="A1150" s="31"/>
      <c r="B1150" s="19"/>
      <c r="C1150" s="14"/>
      <c r="D1150" s="41">
        <v>2.5632</v>
      </c>
      <c r="E1150" s="10" t="s">
        <v>92</v>
      </c>
    </row>
    <row r="1151" spans="1:5" s="1" customFormat="1" ht="15">
      <c r="A1151" s="32" t="s">
        <v>140</v>
      </c>
      <c r="B1151" s="22" t="s">
        <v>139</v>
      </c>
      <c r="C1151" s="16" t="s">
        <v>94</v>
      </c>
      <c r="D1151" s="18">
        <v>192.72918</v>
      </c>
      <c r="E1151" s="10" t="s">
        <v>120</v>
      </c>
    </row>
    <row r="1152" spans="1:5" s="1" customFormat="1" ht="42" customHeight="1">
      <c r="A1152" s="31"/>
      <c r="B1152" s="19"/>
      <c r="C1152" s="14"/>
      <c r="D1152" s="18">
        <v>2.75229</v>
      </c>
      <c r="E1152" s="10" t="s">
        <v>92</v>
      </c>
    </row>
    <row r="1153" spans="1:5" s="1" customFormat="1" ht="15">
      <c r="A1153" s="22" t="s">
        <v>138</v>
      </c>
      <c r="B1153" s="32" t="s">
        <v>137</v>
      </c>
      <c r="C1153" s="16" t="s">
        <v>94</v>
      </c>
      <c r="D1153" s="18">
        <v>195.40056</v>
      </c>
      <c r="E1153" s="10" t="s">
        <v>136</v>
      </c>
    </row>
    <row r="1154" spans="1:5" s="1" customFormat="1" ht="72.75" customHeight="1">
      <c r="A1154" s="19"/>
      <c r="B1154" s="31"/>
      <c r="C1154" s="14"/>
      <c r="D1154" s="18">
        <v>3.05664</v>
      </c>
      <c r="E1154" s="10" t="s">
        <v>99</v>
      </c>
    </row>
    <row r="1155" spans="1:5" s="1" customFormat="1" ht="15">
      <c r="A1155" s="22" t="s">
        <v>135</v>
      </c>
      <c r="B1155" s="32" t="s">
        <v>134</v>
      </c>
      <c r="C1155" s="16" t="s">
        <v>94</v>
      </c>
      <c r="D1155" s="18">
        <v>196.99266</v>
      </c>
      <c r="E1155" s="10" t="s">
        <v>129</v>
      </c>
    </row>
    <row r="1156" spans="1:5" s="1" customFormat="1" ht="47.25" customHeight="1">
      <c r="A1156" s="19"/>
      <c r="B1156" s="31"/>
      <c r="C1156" s="14"/>
      <c r="D1156" s="18">
        <v>2.90585</v>
      </c>
      <c r="E1156" s="10" t="s">
        <v>92</v>
      </c>
    </row>
    <row r="1157" spans="1:5" s="1" customFormat="1" ht="15">
      <c r="A1157" s="22" t="s">
        <v>133</v>
      </c>
      <c r="B1157" s="32" t="s">
        <v>132</v>
      </c>
      <c r="C1157" s="16" t="s">
        <v>94</v>
      </c>
      <c r="D1157" s="18">
        <v>197.04986</v>
      </c>
      <c r="E1157" s="10" t="s">
        <v>129</v>
      </c>
    </row>
    <row r="1158" spans="1:5" s="1" customFormat="1" ht="58.5" customHeight="1">
      <c r="A1158" s="19"/>
      <c r="B1158" s="31"/>
      <c r="C1158" s="14"/>
      <c r="D1158" s="18">
        <v>2.93011</v>
      </c>
      <c r="E1158" s="10" t="s">
        <v>99</v>
      </c>
    </row>
    <row r="1159" spans="1:5" s="1" customFormat="1" ht="15">
      <c r="A1159" s="22" t="s">
        <v>131</v>
      </c>
      <c r="B1159" s="32" t="s">
        <v>130</v>
      </c>
      <c r="C1159" s="16" t="s">
        <v>94</v>
      </c>
      <c r="D1159" s="13">
        <v>27.6576</v>
      </c>
      <c r="E1159" s="10" t="s">
        <v>129</v>
      </c>
    </row>
    <row r="1160" spans="1:5" s="1" customFormat="1" ht="42.75" customHeight="1">
      <c r="A1160" s="19"/>
      <c r="B1160" s="31"/>
      <c r="C1160" s="14"/>
      <c r="D1160" s="13">
        <v>0.42939</v>
      </c>
      <c r="E1160" s="10" t="s">
        <v>92</v>
      </c>
    </row>
    <row r="1161" spans="1:5" s="1" customFormat="1" ht="15">
      <c r="A1161" s="22" t="s">
        <v>128</v>
      </c>
      <c r="B1161" s="32" t="s">
        <v>127</v>
      </c>
      <c r="C1161" s="16" t="s">
        <v>94</v>
      </c>
      <c r="D1161" s="13">
        <v>34.23851</v>
      </c>
      <c r="E1161" s="10" t="s">
        <v>126</v>
      </c>
    </row>
    <row r="1162" spans="1:5" s="1" customFormat="1" ht="38.25" customHeight="1">
      <c r="A1162" s="19"/>
      <c r="B1162" s="31"/>
      <c r="C1162" s="14"/>
      <c r="D1162" s="13">
        <v>0.53322</v>
      </c>
      <c r="E1162" s="10" t="s">
        <v>99</v>
      </c>
    </row>
    <row r="1163" spans="1:5" s="1" customFormat="1" ht="15">
      <c r="A1163" s="22" t="s">
        <v>125</v>
      </c>
      <c r="B1163" s="32" t="s">
        <v>124</v>
      </c>
      <c r="C1163" s="40" t="s">
        <v>94</v>
      </c>
      <c r="D1163" s="25">
        <v>196.50099</v>
      </c>
      <c r="E1163" s="24" t="s">
        <v>123</v>
      </c>
    </row>
    <row r="1164" spans="1:5" s="1" customFormat="1" ht="41.25" customHeight="1">
      <c r="A1164" s="19"/>
      <c r="B1164" s="31"/>
      <c r="C1164" s="39"/>
      <c r="D1164" s="25">
        <v>3.07245</v>
      </c>
      <c r="E1164" s="24" t="s">
        <v>92</v>
      </c>
    </row>
    <row r="1165" spans="1:5" s="1" customFormat="1" ht="15">
      <c r="A1165" s="32" t="s">
        <v>122</v>
      </c>
      <c r="B1165" s="22" t="s">
        <v>121</v>
      </c>
      <c r="C1165" s="16" t="s">
        <v>94</v>
      </c>
      <c r="D1165" s="13">
        <v>196.95898</v>
      </c>
      <c r="E1165" s="10" t="s">
        <v>120</v>
      </c>
    </row>
    <row r="1166" spans="1:5" s="1" customFormat="1" ht="51" customHeight="1">
      <c r="A1166" s="31"/>
      <c r="B1166" s="19"/>
      <c r="C1166" s="14"/>
      <c r="D1166" s="13">
        <v>2.90567</v>
      </c>
      <c r="E1166" s="10" t="s">
        <v>92</v>
      </c>
    </row>
    <row r="1167" spans="1:5" s="1" customFormat="1" ht="15">
      <c r="A1167" s="22" t="s">
        <v>119</v>
      </c>
      <c r="B1167" s="32" t="s">
        <v>118</v>
      </c>
      <c r="C1167" s="16" t="s">
        <v>94</v>
      </c>
      <c r="D1167" s="13">
        <v>129.14663</v>
      </c>
      <c r="E1167" s="10" t="s">
        <v>93</v>
      </c>
    </row>
    <row r="1168" spans="1:5" s="1" customFormat="1" ht="43.5" customHeight="1">
      <c r="A1168" s="19"/>
      <c r="B1168" s="31"/>
      <c r="C1168" s="14"/>
      <c r="D1168" s="13">
        <v>2.0018</v>
      </c>
      <c r="E1168" s="10" t="s">
        <v>99</v>
      </c>
    </row>
    <row r="1169" spans="1:5" s="1" customFormat="1" ht="15">
      <c r="A1169" s="22" t="s">
        <v>117</v>
      </c>
      <c r="B1169" s="32" t="s">
        <v>116</v>
      </c>
      <c r="C1169" s="16" t="s">
        <v>94</v>
      </c>
      <c r="D1169" s="13">
        <v>1.16338</v>
      </c>
      <c r="E1169" s="38" t="s">
        <v>115</v>
      </c>
    </row>
    <row r="1170" spans="1:5" s="1" customFormat="1" ht="42.75" customHeight="1">
      <c r="A1170" s="19"/>
      <c r="B1170" s="31"/>
      <c r="C1170" s="14"/>
      <c r="D1170" s="13">
        <v>1.25958</v>
      </c>
      <c r="E1170" s="10" t="s">
        <v>92</v>
      </c>
    </row>
    <row r="1171" spans="1:5" s="1" customFormat="1" ht="15">
      <c r="A1171" s="22" t="s">
        <v>114</v>
      </c>
      <c r="B1171" s="22" t="s">
        <v>113</v>
      </c>
      <c r="C1171" s="16" t="s">
        <v>94</v>
      </c>
      <c r="D1171" s="13">
        <v>0.81886</v>
      </c>
      <c r="E1171" s="10" t="s">
        <v>92</v>
      </c>
    </row>
    <row r="1172" spans="1:5" s="1" customFormat="1" ht="39.75" customHeight="1">
      <c r="A1172" s="19"/>
      <c r="B1172" s="19"/>
      <c r="C1172" s="14"/>
      <c r="D1172" s="13">
        <v>53.22699</v>
      </c>
      <c r="E1172" s="10" t="s">
        <v>93</v>
      </c>
    </row>
    <row r="1173" spans="1:5" s="1" customFormat="1" ht="15">
      <c r="A1173" s="22" t="s">
        <v>112</v>
      </c>
      <c r="B1173" s="22" t="s">
        <v>111</v>
      </c>
      <c r="C1173" s="16" t="s">
        <v>94</v>
      </c>
      <c r="D1173" s="13">
        <v>48.68175</v>
      </c>
      <c r="E1173" s="10" t="s">
        <v>93</v>
      </c>
    </row>
    <row r="1174" spans="1:5" s="1" customFormat="1" ht="47.25" customHeight="1">
      <c r="A1174" s="19"/>
      <c r="B1174" s="19"/>
      <c r="C1174" s="14"/>
      <c r="D1174" s="13">
        <v>0.75678</v>
      </c>
      <c r="E1174" s="10" t="s">
        <v>99</v>
      </c>
    </row>
    <row r="1175" spans="1:5" s="1" customFormat="1" ht="15">
      <c r="A1175" s="22" t="s">
        <v>110</v>
      </c>
      <c r="B1175" s="22" t="s">
        <v>109</v>
      </c>
      <c r="C1175" s="16" t="s">
        <v>94</v>
      </c>
      <c r="D1175" s="13">
        <v>5.34109</v>
      </c>
      <c r="E1175" s="10" t="s">
        <v>93</v>
      </c>
    </row>
    <row r="1176" spans="1:5" s="1" customFormat="1" ht="45.75" customHeight="1">
      <c r="A1176" s="19"/>
      <c r="B1176" s="19"/>
      <c r="C1176" s="14"/>
      <c r="D1176" s="13">
        <v>0.87772</v>
      </c>
      <c r="E1176" s="10" t="s">
        <v>99</v>
      </c>
    </row>
    <row r="1177" spans="1:5" s="1" customFormat="1" ht="15">
      <c r="A1177" s="22" t="s">
        <v>108</v>
      </c>
      <c r="B1177" s="22" t="s">
        <v>107</v>
      </c>
      <c r="C1177" s="16" t="s">
        <v>94</v>
      </c>
      <c r="D1177" s="13">
        <v>33.74153</v>
      </c>
      <c r="E1177" s="10" t="s">
        <v>93</v>
      </c>
    </row>
    <row r="1178" spans="1:5" s="1" customFormat="1" ht="41.25" customHeight="1">
      <c r="A1178" s="19"/>
      <c r="B1178" s="19"/>
      <c r="C1178" s="14"/>
      <c r="D1178" s="13">
        <v>0.52673</v>
      </c>
      <c r="E1178" s="10" t="s">
        <v>99</v>
      </c>
    </row>
    <row r="1179" spans="1:5" s="1" customFormat="1" ht="15">
      <c r="A1179" s="22" t="s">
        <v>106</v>
      </c>
      <c r="B1179" s="22" t="s">
        <v>105</v>
      </c>
      <c r="C1179" s="16" t="s">
        <v>94</v>
      </c>
      <c r="D1179" s="13">
        <v>60.81252</v>
      </c>
      <c r="E1179" s="10" t="s">
        <v>93</v>
      </c>
    </row>
    <row r="1180" spans="1:5" s="1" customFormat="1" ht="39.75" customHeight="1">
      <c r="A1180" s="19"/>
      <c r="B1180" s="19"/>
      <c r="C1180" s="14"/>
      <c r="D1180" s="13">
        <v>0.94092</v>
      </c>
      <c r="E1180" s="10" t="s">
        <v>99</v>
      </c>
    </row>
    <row r="1181" spans="1:5" s="1" customFormat="1" ht="15">
      <c r="A1181" s="22" t="s">
        <v>104</v>
      </c>
      <c r="B1181" s="22" t="s">
        <v>103</v>
      </c>
      <c r="C1181" s="16" t="s">
        <v>94</v>
      </c>
      <c r="D1181" s="13">
        <v>22.01673</v>
      </c>
      <c r="E1181" s="10" t="s">
        <v>93</v>
      </c>
    </row>
    <row r="1182" spans="1:5" s="1" customFormat="1" ht="30" customHeight="1">
      <c r="A1182" s="19"/>
      <c r="B1182" s="19"/>
      <c r="C1182" s="14"/>
      <c r="D1182" s="13">
        <v>0.79842</v>
      </c>
      <c r="E1182" s="10" t="s">
        <v>92</v>
      </c>
    </row>
    <row r="1183" spans="1:5" s="1" customFormat="1" ht="15">
      <c r="A1183" s="22" t="s">
        <v>102</v>
      </c>
      <c r="B1183" s="22" t="s">
        <v>101</v>
      </c>
      <c r="C1183" s="16" t="s">
        <v>94</v>
      </c>
      <c r="D1183" s="13">
        <v>98.4538</v>
      </c>
      <c r="E1183" s="10" t="s">
        <v>100</v>
      </c>
    </row>
    <row r="1184" spans="1:5" s="1" customFormat="1" ht="40.5" customHeight="1">
      <c r="A1184" s="19"/>
      <c r="B1184" s="19"/>
      <c r="C1184" s="14"/>
      <c r="D1184" s="13">
        <v>1.47202</v>
      </c>
      <c r="E1184" s="10" t="s">
        <v>99</v>
      </c>
    </row>
    <row r="1185" spans="1:5" s="1" customFormat="1" ht="15">
      <c r="A1185" s="22" t="s">
        <v>98</v>
      </c>
      <c r="B1185" s="22" t="s">
        <v>97</v>
      </c>
      <c r="C1185" s="16" t="s">
        <v>94</v>
      </c>
      <c r="D1185" s="30"/>
      <c r="E1185" s="10"/>
    </row>
    <row r="1186" spans="1:5" s="1" customFormat="1" ht="37.5" customHeight="1">
      <c r="A1186" s="19"/>
      <c r="B1186" s="19"/>
      <c r="C1186" s="14"/>
      <c r="D1186" s="13">
        <v>0.11</v>
      </c>
      <c r="E1186" s="10" t="s">
        <v>92</v>
      </c>
    </row>
    <row r="1187" spans="1:5" s="1" customFormat="1" ht="15">
      <c r="A1187" s="22" t="s">
        <v>96</v>
      </c>
      <c r="B1187" s="22" t="s">
        <v>95</v>
      </c>
      <c r="C1187" s="16" t="s">
        <v>94</v>
      </c>
      <c r="D1187" s="13">
        <v>42.62914</v>
      </c>
      <c r="E1187" s="10" t="s">
        <v>93</v>
      </c>
    </row>
    <row r="1188" spans="1:5" s="1" customFormat="1" ht="39" customHeight="1">
      <c r="A1188" s="19"/>
      <c r="B1188" s="19"/>
      <c r="C1188" s="14"/>
      <c r="D1188" s="13">
        <v>0.65545</v>
      </c>
      <c r="E1188" s="10" t="s">
        <v>92</v>
      </c>
    </row>
    <row r="1189" spans="1:5" s="1" customFormat="1" ht="15">
      <c r="A1189" s="7" t="s">
        <v>62</v>
      </c>
      <c r="B1189" s="29"/>
      <c r="C1189" s="33"/>
      <c r="D1189" s="5">
        <f>SUM(D1147:D1188)</f>
        <v>2093.9638800000007</v>
      </c>
      <c r="E1189" s="8"/>
    </row>
    <row r="1190" spans="1:5" s="1" customFormat="1" ht="38.25">
      <c r="A1190" s="35" t="s">
        <v>91</v>
      </c>
      <c r="B1190" s="36" t="s">
        <v>90</v>
      </c>
      <c r="C1190" s="33" t="s">
        <v>69</v>
      </c>
      <c r="D1190" s="37">
        <v>47.25401</v>
      </c>
      <c r="E1190" s="8" t="s">
        <v>68</v>
      </c>
    </row>
    <row r="1191" spans="1:5" s="1" customFormat="1" ht="38.25">
      <c r="A1191" s="35" t="s">
        <v>89</v>
      </c>
      <c r="B1191" s="36" t="s">
        <v>88</v>
      </c>
      <c r="C1191" s="33" t="s">
        <v>69</v>
      </c>
      <c r="D1191" s="37">
        <v>36.75074</v>
      </c>
      <c r="E1191" s="8" t="s">
        <v>68</v>
      </c>
    </row>
    <row r="1192" spans="1:5" s="1" customFormat="1" ht="38.25">
      <c r="A1192" s="35" t="s">
        <v>87</v>
      </c>
      <c r="B1192" s="36" t="s">
        <v>86</v>
      </c>
      <c r="C1192" s="33" t="s">
        <v>69</v>
      </c>
      <c r="D1192" s="18">
        <v>72.26357</v>
      </c>
      <c r="E1192" s="8" t="s">
        <v>68</v>
      </c>
    </row>
    <row r="1193" spans="1:5" s="1" customFormat="1" ht="38.25">
      <c r="A1193" s="35" t="s">
        <v>85</v>
      </c>
      <c r="B1193" s="36" t="s">
        <v>84</v>
      </c>
      <c r="C1193" s="33" t="s">
        <v>69</v>
      </c>
      <c r="D1193" s="37">
        <v>25.83143</v>
      </c>
      <c r="E1193" s="8" t="s">
        <v>68</v>
      </c>
    </row>
    <row r="1194" spans="1:5" s="1" customFormat="1" ht="38.25">
      <c r="A1194" s="35" t="s">
        <v>83</v>
      </c>
      <c r="B1194" s="36" t="s">
        <v>82</v>
      </c>
      <c r="C1194" s="33" t="s">
        <v>69</v>
      </c>
      <c r="D1194" s="18">
        <v>34.43984</v>
      </c>
      <c r="E1194" s="8" t="s">
        <v>68</v>
      </c>
    </row>
    <row r="1195" spans="1:5" s="1" customFormat="1" ht="25.5">
      <c r="A1195" s="35" t="s">
        <v>81</v>
      </c>
      <c r="B1195" s="36" t="s">
        <v>80</v>
      </c>
      <c r="C1195" s="33" t="s">
        <v>69</v>
      </c>
      <c r="D1195" s="18">
        <v>58.99644</v>
      </c>
      <c r="E1195" s="8" t="s">
        <v>68</v>
      </c>
    </row>
    <row r="1196" spans="1:5" s="1" customFormat="1" ht="38.25">
      <c r="A1196" s="35" t="s">
        <v>79</v>
      </c>
      <c r="B1196" s="36" t="s">
        <v>78</v>
      </c>
      <c r="C1196" s="33" t="s">
        <v>69</v>
      </c>
      <c r="D1196" s="18">
        <v>20.38109</v>
      </c>
      <c r="E1196" s="8" t="s">
        <v>68</v>
      </c>
    </row>
    <row r="1197" spans="1:5" s="1" customFormat="1" ht="51">
      <c r="A1197" s="10" t="s">
        <v>77</v>
      </c>
      <c r="B1197" s="10" t="s">
        <v>76</v>
      </c>
      <c r="C1197" s="33" t="s">
        <v>69</v>
      </c>
      <c r="D1197" s="18">
        <v>19.27085</v>
      </c>
      <c r="E1197" s="8" t="s">
        <v>68</v>
      </c>
    </row>
    <row r="1198" spans="1:5" s="1" customFormat="1" ht="63.75">
      <c r="A1198" s="10" t="s">
        <v>75</v>
      </c>
      <c r="B1198" s="10" t="s">
        <v>74</v>
      </c>
      <c r="C1198" s="33" t="s">
        <v>69</v>
      </c>
      <c r="D1198" s="18">
        <v>29.46785</v>
      </c>
      <c r="E1198" s="8" t="s">
        <v>68</v>
      </c>
    </row>
    <row r="1199" spans="1:5" s="1" customFormat="1" ht="51">
      <c r="A1199" s="10" t="s">
        <v>73</v>
      </c>
      <c r="B1199" s="10" t="s">
        <v>72</v>
      </c>
      <c r="C1199" s="33" t="s">
        <v>69</v>
      </c>
      <c r="D1199" s="18">
        <v>41.43911</v>
      </c>
      <c r="E1199" s="8" t="s">
        <v>68</v>
      </c>
    </row>
    <row r="1200" spans="1:5" s="1" customFormat="1" ht="51">
      <c r="A1200" s="10" t="s">
        <v>71</v>
      </c>
      <c r="B1200" s="10" t="s">
        <v>70</v>
      </c>
      <c r="C1200" s="33" t="s">
        <v>69</v>
      </c>
      <c r="D1200" s="18">
        <v>13.90477</v>
      </c>
      <c r="E1200" s="8" t="s">
        <v>68</v>
      </c>
    </row>
    <row r="1201" spans="1:5" s="1" customFormat="1" ht="15">
      <c r="A1201" s="7" t="s">
        <v>62</v>
      </c>
      <c r="B1201" s="29"/>
      <c r="C1201" s="33"/>
      <c r="D1201" s="5">
        <f>SUM(D1190:D1200)</f>
        <v>399.9997000000001</v>
      </c>
      <c r="E1201" s="8"/>
    </row>
    <row r="1202" spans="1:5" s="1" customFormat="1" ht="51.75" customHeight="1">
      <c r="A1202" s="35"/>
      <c r="B1202" s="34" t="s">
        <v>67</v>
      </c>
      <c r="C1202" s="33" t="s">
        <v>63</v>
      </c>
      <c r="D1202" s="25">
        <v>91.80977</v>
      </c>
      <c r="E1202" s="24" t="s">
        <v>66</v>
      </c>
    </row>
    <row r="1203" spans="1:5" s="1" customFormat="1" ht="15">
      <c r="A1203" s="23" t="s">
        <v>65</v>
      </c>
      <c r="B1203" s="32" t="s">
        <v>64</v>
      </c>
      <c r="C1203" s="16" t="s">
        <v>63</v>
      </c>
      <c r="D1203" s="25">
        <v>1.43253</v>
      </c>
      <c r="E1203" s="24" t="s">
        <v>3</v>
      </c>
    </row>
    <row r="1204" spans="1:5" s="1" customFormat="1" ht="68.25" customHeight="1">
      <c r="A1204" s="20"/>
      <c r="B1204" s="31"/>
      <c r="C1204" s="14"/>
      <c r="D1204" s="30"/>
      <c r="E1204" s="8"/>
    </row>
    <row r="1205" spans="1:5" s="1" customFormat="1" ht="15">
      <c r="A1205" s="7" t="s">
        <v>62</v>
      </c>
      <c r="B1205" s="29"/>
      <c r="C1205" s="6"/>
      <c r="D1205" s="5">
        <f>D1202+D1203</f>
        <v>93.2423</v>
      </c>
      <c r="E1205" s="8"/>
    </row>
    <row r="1206" spans="1:5" s="1" customFormat="1" ht="15">
      <c r="A1206" s="27" t="s">
        <v>61</v>
      </c>
      <c r="B1206" s="27" t="s">
        <v>60</v>
      </c>
      <c r="C1206" s="16" t="s">
        <v>44</v>
      </c>
      <c r="D1206" s="28">
        <v>2.78592</v>
      </c>
      <c r="E1206" s="8" t="s">
        <v>3</v>
      </c>
    </row>
    <row r="1207" spans="1:5" s="1" customFormat="1" ht="38.25" customHeight="1">
      <c r="A1207" s="26"/>
      <c r="B1207" s="26"/>
      <c r="C1207" s="14"/>
      <c r="D1207" s="28">
        <v>188.59162</v>
      </c>
      <c r="E1207" s="8" t="s">
        <v>55</v>
      </c>
    </row>
    <row r="1208" spans="1:5" s="1" customFormat="1" ht="15">
      <c r="A1208" s="27" t="s">
        <v>59</v>
      </c>
      <c r="B1208" s="27" t="s">
        <v>58</v>
      </c>
      <c r="C1208" s="16" t="s">
        <v>44</v>
      </c>
      <c r="D1208" s="28">
        <v>2.70748</v>
      </c>
      <c r="E1208" s="8" t="s">
        <v>3</v>
      </c>
    </row>
    <row r="1209" spans="1:5" s="1" customFormat="1" ht="52.5" customHeight="1">
      <c r="A1209" s="26"/>
      <c r="B1209" s="26"/>
      <c r="C1209" s="14"/>
      <c r="D1209" s="28">
        <v>183.76826</v>
      </c>
      <c r="E1209" s="8" t="s">
        <v>55</v>
      </c>
    </row>
    <row r="1210" spans="1:5" s="1" customFormat="1" ht="15">
      <c r="A1210" s="27" t="s">
        <v>57</v>
      </c>
      <c r="B1210" s="27" t="s">
        <v>56</v>
      </c>
      <c r="C1210" s="16" t="s">
        <v>44</v>
      </c>
      <c r="D1210" s="28">
        <v>2.71125</v>
      </c>
      <c r="E1210" s="8" t="s">
        <v>3</v>
      </c>
    </row>
    <row r="1211" spans="1:5" s="1" customFormat="1" ht="54.75" customHeight="1">
      <c r="A1211" s="26"/>
      <c r="B1211" s="26"/>
      <c r="C1211" s="14"/>
      <c r="D1211" s="28">
        <v>184.07289</v>
      </c>
      <c r="E1211" s="8" t="s">
        <v>55</v>
      </c>
    </row>
    <row r="1212" spans="1:5" s="1" customFormat="1" ht="15">
      <c r="A1212" s="27" t="s">
        <v>54</v>
      </c>
      <c r="B1212" s="27" t="s">
        <v>53</v>
      </c>
      <c r="C1212" s="16" t="s">
        <v>44</v>
      </c>
      <c r="D1212" s="28">
        <v>1.46582</v>
      </c>
      <c r="E1212" s="8" t="s">
        <v>3</v>
      </c>
    </row>
    <row r="1213" spans="1:5" s="1" customFormat="1" ht="38.25" customHeight="1">
      <c r="A1213" s="26"/>
      <c r="B1213" s="26"/>
      <c r="C1213" s="14"/>
      <c r="D1213" s="25">
        <v>116.43697</v>
      </c>
      <c r="E1213" s="8" t="s">
        <v>52</v>
      </c>
    </row>
    <row r="1214" spans="1:5" s="1" customFormat="1" ht="15">
      <c r="A1214" s="27" t="s">
        <v>51</v>
      </c>
      <c r="B1214" s="27" t="s">
        <v>50</v>
      </c>
      <c r="C1214" s="16" t="s">
        <v>44</v>
      </c>
      <c r="D1214" s="25">
        <v>2.67784</v>
      </c>
      <c r="E1214" s="8" t="s">
        <v>3</v>
      </c>
    </row>
    <row r="1215" spans="1:5" s="1" customFormat="1" ht="33" customHeight="1">
      <c r="A1215" s="26"/>
      <c r="B1215" s="26"/>
      <c r="C1215" s="14"/>
      <c r="D1215" s="25">
        <v>184.01136</v>
      </c>
      <c r="E1215" s="8" t="s">
        <v>49</v>
      </c>
    </row>
    <row r="1216" spans="1:5" s="1" customFormat="1" ht="15">
      <c r="A1216" s="27" t="s">
        <v>48</v>
      </c>
      <c r="B1216" s="27" t="s">
        <v>47</v>
      </c>
      <c r="C1216" s="16" t="s">
        <v>44</v>
      </c>
      <c r="D1216" s="25">
        <v>0.84796</v>
      </c>
      <c r="E1216" s="8" t="s">
        <v>3</v>
      </c>
    </row>
    <row r="1217" spans="1:5" s="1" customFormat="1" ht="51.75" customHeight="1">
      <c r="A1217" s="26"/>
      <c r="B1217" s="26"/>
      <c r="C1217" s="14"/>
      <c r="D1217" s="25">
        <v>59.10385</v>
      </c>
      <c r="E1217" s="8" t="s">
        <v>35</v>
      </c>
    </row>
    <row r="1218" spans="1:5" s="1" customFormat="1" ht="15">
      <c r="A1218" s="27" t="s">
        <v>46</v>
      </c>
      <c r="B1218" s="27" t="s">
        <v>45</v>
      </c>
      <c r="C1218" s="16" t="s">
        <v>44</v>
      </c>
      <c r="D1218" s="25">
        <v>2.84852</v>
      </c>
      <c r="E1218" s="8" t="s">
        <v>3</v>
      </c>
    </row>
    <row r="1219" spans="1:5" s="1" customFormat="1" ht="51.75" customHeight="1">
      <c r="A1219" s="26"/>
      <c r="B1219" s="26"/>
      <c r="C1219" s="14"/>
      <c r="D1219" s="25">
        <v>196.93314</v>
      </c>
      <c r="E1219" s="8" t="s">
        <v>35</v>
      </c>
    </row>
    <row r="1220" spans="1:5" s="1" customFormat="1" ht="15">
      <c r="A1220" s="11" t="s">
        <v>2</v>
      </c>
      <c r="B1220" s="24"/>
      <c r="C1220" s="6"/>
      <c r="D1220" s="5">
        <f>SUM(D1206:D1219)</f>
        <v>1128.9628799999998</v>
      </c>
      <c r="E1220" s="8"/>
    </row>
    <row r="1221" spans="1:5" s="1" customFormat="1" ht="15">
      <c r="A1221" s="23" t="s">
        <v>43</v>
      </c>
      <c r="B1221" s="17" t="s">
        <v>42</v>
      </c>
      <c r="C1221" s="16" t="s">
        <v>36</v>
      </c>
      <c r="D1221" s="18">
        <v>196.92056</v>
      </c>
      <c r="E1221" s="21" t="s">
        <v>35</v>
      </c>
    </row>
    <row r="1222" spans="1:5" s="1" customFormat="1" ht="57.75" customHeight="1">
      <c r="A1222" s="20"/>
      <c r="B1222" s="15"/>
      <c r="C1222" s="14"/>
      <c r="D1222" s="18">
        <v>2.91443</v>
      </c>
      <c r="E1222" s="12" t="s">
        <v>34</v>
      </c>
    </row>
    <row r="1223" spans="1:5" s="1" customFormat="1" ht="15">
      <c r="A1223" s="23" t="s">
        <v>41</v>
      </c>
      <c r="B1223" s="17" t="s">
        <v>40</v>
      </c>
      <c r="C1223" s="16" t="s">
        <v>36</v>
      </c>
      <c r="D1223" s="18">
        <v>46.537</v>
      </c>
      <c r="E1223" s="12" t="s">
        <v>39</v>
      </c>
    </row>
    <row r="1224" spans="1:5" s="1" customFormat="1" ht="43.5" customHeight="1">
      <c r="A1224" s="20"/>
      <c r="B1224" s="15"/>
      <c r="C1224" s="14"/>
      <c r="D1224" s="18">
        <v>0.69581</v>
      </c>
      <c r="E1224" s="12" t="s">
        <v>3</v>
      </c>
    </row>
    <row r="1225" spans="1:5" s="1" customFormat="1" ht="15">
      <c r="A1225" s="23" t="s">
        <v>38</v>
      </c>
      <c r="B1225" s="22" t="s">
        <v>37</v>
      </c>
      <c r="C1225" s="16" t="s">
        <v>36</v>
      </c>
      <c r="D1225" s="18">
        <v>149.73086</v>
      </c>
      <c r="E1225" s="21" t="s">
        <v>35</v>
      </c>
    </row>
    <row r="1226" spans="1:5" s="1" customFormat="1" ht="40.5" customHeight="1">
      <c r="A1226" s="20"/>
      <c r="B1226" s="19"/>
      <c r="C1226" s="14"/>
      <c r="D1226" s="18">
        <v>2.21448</v>
      </c>
      <c r="E1226" s="12" t="s">
        <v>34</v>
      </c>
    </row>
    <row r="1227" spans="1:5" s="1" customFormat="1" ht="15">
      <c r="A1227" s="10"/>
      <c r="B1227" s="17" t="s">
        <v>33</v>
      </c>
      <c r="C1227" s="17" t="s">
        <v>33</v>
      </c>
      <c r="D1227" s="13">
        <v>196.20122</v>
      </c>
      <c r="E1227" s="10" t="s">
        <v>12</v>
      </c>
    </row>
    <row r="1228" spans="1:5" s="1" customFormat="1" ht="15">
      <c r="A1228" s="10"/>
      <c r="B1228" s="15"/>
      <c r="C1228" s="15"/>
      <c r="D1228" s="13">
        <v>2.89808</v>
      </c>
      <c r="E1228" s="12" t="s">
        <v>3</v>
      </c>
    </row>
    <row r="1229" spans="1:5" s="1" customFormat="1" ht="15">
      <c r="A1229" s="11" t="s">
        <v>2</v>
      </c>
      <c r="B1229" s="10"/>
      <c r="C1229" s="6"/>
      <c r="D1229" s="9">
        <f>D1227+D1228+D1224+D1223+D1222+D1221+D1225+D1226</f>
        <v>598.11244</v>
      </c>
      <c r="E1229" s="8"/>
    </row>
    <row r="1230" spans="1:5" s="1" customFormat="1" ht="15">
      <c r="A1230" s="17" t="s">
        <v>32</v>
      </c>
      <c r="B1230" s="17" t="s">
        <v>31</v>
      </c>
      <c r="C1230" s="16" t="s">
        <v>5</v>
      </c>
      <c r="D1230" s="13">
        <v>25.10521</v>
      </c>
      <c r="E1230" s="10" t="s">
        <v>12</v>
      </c>
    </row>
    <row r="1231" spans="1:5" s="1" customFormat="1" ht="27" customHeight="1">
      <c r="A1231" s="15"/>
      <c r="B1231" s="15"/>
      <c r="C1231" s="14"/>
      <c r="D1231" s="13">
        <v>0.37026</v>
      </c>
      <c r="E1231" s="12" t="s">
        <v>3</v>
      </c>
    </row>
    <row r="1232" spans="1:5" s="1" customFormat="1" ht="15">
      <c r="A1232" s="17" t="s">
        <v>30</v>
      </c>
      <c r="B1232" s="17" t="s">
        <v>29</v>
      </c>
      <c r="C1232" s="16" t="s">
        <v>5</v>
      </c>
      <c r="D1232" s="13">
        <v>28.32271</v>
      </c>
      <c r="E1232" s="10" t="s">
        <v>12</v>
      </c>
    </row>
    <row r="1233" spans="1:5" s="1" customFormat="1" ht="27.75" customHeight="1">
      <c r="A1233" s="15"/>
      <c r="B1233" s="15"/>
      <c r="C1233" s="14"/>
      <c r="D1233" s="13">
        <v>0.4175</v>
      </c>
      <c r="E1233" s="12" t="s">
        <v>3</v>
      </c>
    </row>
    <row r="1234" spans="1:5" s="1" customFormat="1" ht="15">
      <c r="A1234" s="17" t="s">
        <v>28</v>
      </c>
      <c r="B1234" s="17" t="s">
        <v>27</v>
      </c>
      <c r="C1234" s="16" t="s">
        <v>5</v>
      </c>
      <c r="D1234" s="13">
        <v>30.89111</v>
      </c>
      <c r="E1234" s="12" t="s">
        <v>4</v>
      </c>
    </row>
    <row r="1235" spans="1:5" s="1" customFormat="1" ht="42" customHeight="1">
      <c r="A1235" s="15"/>
      <c r="B1235" s="15"/>
      <c r="C1235" s="14"/>
      <c r="D1235" s="13">
        <v>0.45514</v>
      </c>
      <c r="E1235" s="12" t="s">
        <v>3</v>
      </c>
    </row>
    <row r="1236" spans="1:5" s="1" customFormat="1" ht="15">
      <c r="A1236" s="17" t="s">
        <v>26</v>
      </c>
      <c r="B1236" s="17" t="s">
        <v>25</v>
      </c>
      <c r="C1236" s="16" t="s">
        <v>5</v>
      </c>
      <c r="D1236" s="13">
        <v>44.25188</v>
      </c>
      <c r="E1236" s="10" t="s">
        <v>12</v>
      </c>
    </row>
    <row r="1237" spans="1:5" s="1" customFormat="1" ht="36.75" customHeight="1">
      <c r="A1237" s="15"/>
      <c r="B1237" s="15"/>
      <c r="C1237" s="14"/>
      <c r="D1237" s="13">
        <v>0.65138</v>
      </c>
      <c r="E1237" s="12" t="s">
        <v>3</v>
      </c>
    </row>
    <row r="1238" spans="1:5" s="1" customFormat="1" ht="15">
      <c r="A1238" s="17" t="s">
        <v>24</v>
      </c>
      <c r="B1238" s="17" t="s">
        <v>23</v>
      </c>
      <c r="C1238" s="16" t="s">
        <v>5</v>
      </c>
      <c r="D1238" s="13">
        <v>18.558</v>
      </c>
      <c r="E1238" s="12" t="s">
        <v>4</v>
      </c>
    </row>
    <row r="1239" spans="1:5" s="1" customFormat="1" ht="45" customHeight="1">
      <c r="A1239" s="15"/>
      <c r="B1239" s="15"/>
      <c r="C1239" s="14"/>
      <c r="D1239" s="13">
        <v>0.27316</v>
      </c>
      <c r="E1239" s="12" t="s">
        <v>3</v>
      </c>
    </row>
    <row r="1240" spans="1:5" s="1" customFormat="1" ht="15">
      <c r="A1240" s="17" t="s">
        <v>22</v>
      </c>
      <c r="B1240" s="17" t="s">
        <v>21</v>
      </c>
      <c r="C1240" s="16" t="s">
        <v>5</v>
      </c>
      <c r="D1240" s="13">
        <v>47.109</v>
      </c>
      <c r="E1240" s="12" t="s">
        <v>4</v>
      </c>
    </row>
    <row r="1241" spans="1:5" s="1" customFormat="1" ht="38.25" customHeight="1">
      <c r="A1241" s="15"/>
      <c r="B1241" s="15"/>
      <c r="C1241" s="14"/>
      <c r="D1241" s="13">
        <v>0.69059</v>
      </c>
      <c r="E1241" s="12" t="s">
        <v>3</v>
      </c>
    </row>
    <row r="1242" spans="1:5" s="1" customFormat="1" ht="15">
      <c r="A1242" s="17" t="s">
        <v>20</v>
      </c>
      <c r="B1242" s="17" t="s">
        <v>19</v>
      </c>
      <c r="C1242" s="16" t="s">
        <v>5</v>
      </c>
      <c r="D1242" s="13">
        <v>30.89111</v>
      </c>
      <c r="E1242" s="12" t="s">
        <v>4</v>
      </c>
    </row>
    <row r="1243" spans="1:5" s="1" customFormat="1" ht="39.75" customHeight="1">
      <c r="A1243" s="15"/>
      <c r="B1243" s="15"/>
      <c r="C1243" s="14"/>
      <c r="D1243" s="13">
        <v>0.45513</v>
      </c>
      <c r="E1243" s="12" t="s">
        <v>3</v>
      </c>
    </row>
    <row r="1244" spans="1:5" s="1" customFormat="1" ht="15">
      <c r="A1244" s="17" t="s">
        <v>18</v>
      </c>
      <c r="B1244" s="17" t="s">
        <v>17</v>
      </c>
      <c r="C1244" s="16" t="s">
        <v>5</v>
      </c>
      <c r="D1244" s="13">
        <v>30.89111</v>
      </c>
      <c r="E1244" s="12" t="s">
        <v>4</v>
      </c>
    </row>
    <row r="1245" spans="1:5" s="1" customFormat="1" ht="48.75" customHeight="1">
      <c r="A1245" s="15"/>
      <c r="B1245" s="15"/>
      <c r="C1245" s="14"/>
      <c r="D1245" s="13">
        <v>0.45512</v>
      </c>
      <c r="E1245" s="12" t="s">
        <v>3</v>
      </c>
    </row>
    <row r="1246" spans="1:5" s="1" customFormat="1" ht="15">
      <c r="A1246" s="17" t="s">
        <v>16</v>
      </c>
      <c r="B1246" s="17" t="s">
        <v>15</v>
      </c>
      <c r="C1246" s="16" t="s">
        <v>5</v>
      </c>
      <c r="D1246" s="13">
        <v>26.14204</v>
      </c>
      <c r="E1246" s="12" t="s">
        <v>4</v>
      </c>
    </row>
    <row r="1247" spans="1:5" s="1" customFormat="1" ht="36" customHeight="1">
      <c r="A1247" s="15"/>
      <c r="B1247" s="15"/>
      <c r="C1247" s="14"/>
      <c r="D1247" s="13">
        <v>0.38559</v>
      </c>
      <c r="E1247" s="12" t="s">
        <v>3</v>
      </c>
    </row>
    <row r="1248" spans="1:5" s="1" customFormat="1" ht="15">
      <c r="A1248" s="17" t="s">
        <v>14</v>
      </c>
      <c r="B1248" s="17" t="s">
        <v>13</v>
      </c>
      <c r="C1248" s="16" t="s">
        <v>5</v>
      </c>
      <c r="D1248" s="13">
        <v>13.01175</v>
      </c>
      <c r="E1248" s="10" t="s">
        <v>12</v>
      </c>
    </row>
    <row r="1249" spans="1:5" s="1" customFormat="1" ht="37.5" customHeight="1">
      <c r="A1249" s="15"/>
      <c r="B1249" s="15"/>
      <c r="C1249" s="14"/>
      <c r="D1249" s="13">
        <v>0.18969</v>
      </c>
      <c r="E1249" s="12" t="s">
        <v>3</v>
      </c>
    </row>
    <row r="1250" spans="1:5" s="1" customFormat="1" ht="15">
      <c r="A1250" s="17" t="s">
        <v>11</v>
      </c>
      <c r="B1250" s="17" t="s">
        <v>10</v>
      </c>
      <c r="C1250" s="16" t="s">
        <v>5</v>
      </c>
      <c r="D1250" s="13">
        <v>26.14204</v>
      </c>
      <c r="E1250" s="12" t="s">
        <v>4</v>
      </c>
    </row>
    <row r="1251" spans="1:5" s="1" customFormat="1" ht="35.25" customHeight="1">
      <c r="A1251" s="15"/>
      <c r="B1251" s="15"/>
      <c r="C1251" s="14"/>
      <c r="D1251" s="13">
        <v>0.38559</v>
      </c>
      <c r="E1251" s="12" t="s">
        <v>3</v>
      </c>
    </row>
    <row r="1252" spans="1:5" s="1" customFormat="1" ht="15">
      <c r="A1252" s="17" t="s">
        <v>9</v>
      </c>
      <c r="B1252" s="17" t="s">
        <v>8</v>
      </c>
      <c r="C1252" s="16" t="s">
        <v>5</v>
      </c>
      <c r="D1252" s="13">
        <v>15.12214</v>
      </c>
      <c r="E1252" s="12" t="s">
        <v>4</v>
      </c>
    </row>
    <row r="1253" spans="1:5" s="1" customFormat="1" ht="42.75" customHeight="1">
      <c r="A1253" s="15"/>
      <c r="B1253" s="15"/>
      <c r="C1253" s="14"/>
      <c r="D1253" s="13">
        <v>0.22066</v>
      </c>
      <c r="E1253" s="12" t="s">
        <v>3</v>
      </c>
    </row>
    <row r="1254" spans="1:5" s="1" customFormat="1" ht="15">
      <c r="A1254" s="17" t="s">
        <v>7</v>
      </c>
      <c r="B1254" s="17" t="s">
        <v>6</v>
      </c>
      <c r="C1254" s="16" t="s">
        <v>5</v>
      </c>
      <c r="D1254" s="13">
        <v>15.12214</v>
      </c>
      <c r="E1254" s="12" t="s">
        <v>4</v>
      </c>
    </row>
    <row r="1255" spans="1:5" s="1" customFormat="1" ht="36.75" customHeight="1">
      <c r="A1255" s="15"/>
      <c r="B1255" s="15"/>
      <c r="C1255" s="14"/>
      <c r="D1255" s="13">
        <v>0.22066</v>
      </c>
      <c r="E1255" s="12" t="s">
        <v>3</v>
      </c>
    </row>
    <row r="1256" spans="1:5" s="1" customFormat="1" ht="15">
      <c r="A1256" s="11" t="s">
        <v>2</v>
      </c>
      <c r="B1256" s="10"/>
      <c r="C1256" s="6"/>
      <c r="D1256" s="9">
        <f>SUM(D1230:D1255)</f>
        <v>356.73071</v>
      </c>
      <c r="E1256" s="8"/>
    </row>
    <row r="1257" spans="1:5" s="1" customFormat="1" ht="15">
      <c r="A1257" s="7" t="s">
        <v>1</v>
      </c>
      <c r="B1257" s="7"/>
      <c r="C1257" s="6" t="s">
        <v>0</v>
      </c>
      <c r="D1257" s="5">
        <f>D1146+D1205+D1229+D1256+D1189+D1201+D1220</f>
        <v>8818.793001000004</v>
      </c>
      <c r="E1257" s="4" t="s">
        <v>0</v>
      </c>
    </row>
  </sheetData>
  <sheetProtection/>
  <mergeCells count="264">
    <mergeCell ref="A880:E880"/>
    <mergeCell ref="A889:E889"/>
    <mergeCell ref="B914:B915"/>
    <mergeCell ref="A917:A918"/>
    <mergeCell ref="B917:B918"/>
    <mergeCell ref="A919:A920"/>
    <mergeCell ref="A222:E222"/>
    <mergeCell ref="A6:E6"/>
    <mergeCell ref="A218:E218"/>
    <mergeCell ref="A291:E291"/>
    <mergeCell ref="A234:E234"/>
    <mergeCell ref="A228:E228"/>
    <mergeCell ref="A20:E20"/>
    <mergeCell ref="A237:E237"/>
    <mergeCell ref="A946:B946"/>
    <mergeCell ref="A955:B955"/>
    <mergeCell ref="A957:B957"/>
    <mergeCell ref="A2:E2"/>
    <mergeCell ref="A3:E3"/>
    <mergeCell ref="A4:A5"/>
    <mergeCell ref="B4:B5"/>
    <mergeCell ref="C4:C5"/>
    <mergeCell ref="E4:E5"/>
    <mergeCell ref="D4:D5"/>
    <mergeCell ref="A883:E883"/>
    <mergeCell ref="A886:E886"/>
    <mergeCell ref="A912:E912"/>
    <mergeCell ref="A900:E900"/>
    <mergeCell ref="A909:E909"/>
    <mergeCell ref="A903:E903"/>
    <mergeCell ref="A906:E906"/>
    <mergeCell ref="A892:E892"/>
    <mergeCell ref="A986:E986"/>
    <mergeCell ref="B919:B920"/>
    <mergeCell ref="A897:E897"/>
    <mergeCell ref="A923:B923"/>
    <mergeCell ref="A938:B938"/>
    <mergeCell ref="A944:A945"/>
    <mergeCell ref="B944:B945"/>
    <mergeCell ref="A921:A922"/>
    <mergeCell ref="B921:B922"/>
    <mergeCell ref="A914:A915"/>
    <mergeCell ref="A1094:A1095"/>
    <mergeCell ref="B1094:B1095"/>
    <mergeCell ref="C1094:C1095"/>
    <mergeCell ref="A984:B984"/>
    <mergeCell ref="A958:A959"/>
    <mergeCell ref="B958:B959"/>
    <mergeCell ref="A960:A961"/>
    <mergeCell ref="B960:B961"/>
    <mergeCell ref="A1043:E1043"/>
    <mergeCell ref="A1093:E1093"/>
    <mergeCell ref="A1096:A1097"/>
    <mergeCell ref="B1096:B1097"/>
    <mergeCell ref="C1096:C1097"/>
    <mergeCell ref="A1098:A1099"/>
    <mergeCell ref="B1098:B1099"/>
    <mergeCell ref="C1098:C1099"/>
    <mergeCell ref="A1100:A1101"/>
    <mergeCell ref="B1100:B1101"/>
    <mergeCell ref="C1100:C1101"/>
    <mergeCell ref="A1102:A1103"/>
    <mergeCell ref="B1102:B1103"/>
    <mergeCell ref="C1102:C1103"/>
    <mergeCell ref="A1104:A1105"/>
    <mergeCell ref="B1104:B1105"/>
    <mergeCell ref="C1104:C1105"/>
    <mergeCell ref="A1106:A1107"/>
    <mergeCell ref="B1106:B1107"/>
    <mergeCell ref="C1106:C1107"/>
    <mergeCell ref="A1108:A1109"/>
    <mergeCell ref="B1108:B1109"/>
    <mergeCell ref="C1108:C1109"/>
    <mergeCell ref="A1110:A1111"/>
    <mergeCell ref="B1110:B1111"/>
    <mergeCell ref="C1110:C1111"/>
    <mergeCell ref="A1112:A1113"/>
    <mergeCell ref="B1112:B1113"/>
    <mergeCell ref="C1112:C1113"/>
    <mergeCell ref="A1114:A1115"/>
    <mergeCell ref="B1114:B1115"/>
    <mergeCell ref="C1114:C1115"/>
    <mergeCell ref="A1116:A1117"/>
    <mergeCell ref="B1116:B1117"/>
    <mergeCell ref="C1116:C1117"/>
    <mergeCell ref="A1118:A1119"/>
    <mergeCell ref="B1118:B1119"/>
    <mergeCell ref="C1118:C1119"/>
    <mergeCell ref="A1120:A1121"/>
    <mergeCell ref="B1120:B1121"/>
    <mergeCell ref="C1120:C1121"/>
    <mergeCell ref="A1122:A1123"/>
    <mergeCell ref="B1122:B1123"/>
    <mergeCell ref="C1122:C1123"/>
    <mergeCell ref="A1124:A1125"/>
    <mergeCell ref="B1124:B1125"/>
    <mergeCell ref="C1124:C1125"/>
    <mergeCell ref="A1126:A1127"/>
    <mergeCell ref="B1126:B1127"/>
    <mergeCell ref="C1126:C1127"/>
    <mergeCell ref="A1128:A1129"/>
    <mergeCell ref="B1128:B1129"/>
    <mergeCell ref="C1128:C1129"/>
    <mergeCell ref="A1130:A1131"/>
    <mergeCell ref="B1130:B1131"/>
    <mergeCell ref="C1130:C1131"/>
    <mergeCell ref="A1132:A1133"/>
    <mergeCell ref="B1132:B1133"/>
    <mergeCell ref="C1132:C1133"/>
    <mergeCell ref="A1134:A1135"/>
    <mergeCell ref="B1134:B1135"/>
    <mergeCell ref="C1134:C1135"/>
    <mergeCell ref="A1136:A1137"/>
    <mergeCell ref="B1136:B1137"/>
    <mergeCell ref="C1136:C1137"/>
    <mergeCell ref="A1138:A1139"/>
    <mergeCell ref="B1138:B1139"/>
    <mergeCell ref="C1138:C1139"/>
    <mergeCell ref="A1140:A1141"/>
    <mergeCell ref="B1140:B1141"/>
    <mergeCell ref="C1140:C1141"/>
    <mergeCell ref="A1142:A1143"/>
    <mergeCell ref="B1142:B1143"/>
    <mergeCell ref="C1142:C1143"/>
    <mergeCell ref="A1144:A1145"/>
    <mergeCell ref="B1144:B1145"/>
    <mergeCell ref="C1144:C1145"/>
    <mergeCell ref="A1147:A1148"/>
    <mergeCell ref="B1147:B1148"/>
    <mergeCell ref="C1147:C1148"/>
    <mergeCell ref="A1149:A1150"/>
    <mergeCell ref="B1149:B1150"/>
    <mergeCell ref="C1149:C1150"/>
    <mergeCell ref="A1151:A1152"/>
    <mergeCell ref="B1151:B1152"/>
    <mergeCell ref="C1151:C1152"/>
    <mergeCell ref="A1153:A1154"/>
    <mergeCell ref="B1153:B1154"/>
    <mergeCell ref="C1153:C1154"/>
    <mergeCell ref="A1155:A1156"/>
    <mergeCell ref="B1155:B1156"/>
    <mergeCell ref="C1155:C1156"/>
    <mergeCell ref="A1157:A1158"/>
    <mergeCell ref="B1157:B1158"/>
    <mergeCell ref="C1157:C1158"/>
    <mergeCell ref="A1159:A1160"/>
    <mergeCell ref="B1159:B1160"/>
    <mergeCell ref="C1159:C1160"/>
    <mergeCell ref="A1161:A1162"/>
    <mergeCell ref="B1161:B1162"/>
    <mergeCell ref="C1161:C1162"/>
    <mergeCell ref="A1163:A1164"/>
    <mergeCell ref="B1163:B1164"/>
    <mergeCell ref="C1163:C1164"/>
    <mergeCell ref="A1165:A1166"/>
    <mergeCell ref="B1165:B1166"/>
    <mergeCell ref="C1165:C1166"/>
    <mergeCell ref="A1167:A1168"/>
    <mergeCell ref="B1167:B1168"/>
    <mergeCell ref="C1167:C1168"/>
    <mergeCell ref="A1169:A1170"/>
    <mergeCell ref="B1169:B1170"/>
    <mergeCell ref="C1169:C1170"/>
    <mergeCell ref="A1171:A1172"/>
    <mergeCell ref="B1171:B1172"/>
    <mergeCell ref="C1171:C1172"/>
    <mergeCell ref="A1173:A1174"/>
    <mergeCell ref="B1173:B1174"/>
    <mergeCell ref="C1173:C1174"/>
    <mergeCell ref="A1175:A1176"/>
    <mergeCell ref="B1175:B1176"/>
    <mergeCell ref="C1175:C1176"/>
    <mergeCell ref="A1177:A1178"/>
    <mergeCell ref="B1177:B1178"/>
    <mergeCell ref="C1177:C1178"/>
    <mergeCell ref="A1179:A1180"/>
    <mergeCell ref="B1179:B1180"/>
    <mergeCell ref="C1179:C1180"/>
    <mergeCell ref="A1181:A1182"/>
    <mergeCell ref="B1181:B1182"/>
    <mergeCell ref="C1181:C1182"/>
    <mergeCell ref="A1183:A1184"/>
    <mergeCell ref="B1183:B1184"/>
    <mergeCell ref="C1183:C1184"/>
    <mergeCell ref="A1185:A1186"/>
    <mergeCell ref="B1185:B1186"/>
    <mergeCell ref="C1185:C1186"/>
    <mergeCell ref="A1187:A1188"/>
    <mergeCell ref="B1187:B1188"/>
    <mergeCell ref="C1187:C1188"/>
    <mergeCell ref="A1203:A1204"/>
    <mergeCell ref="B1203:B1204"/>
    <mergeCell ref="C1203:C1204"/>
    <mergeCell ref="A1206:A1207"/>
    <mergeCell ref="B1206:B1207"/>
    <mergeCell ref="C1206:C1207"/>
    <mergeCell ref="A1208:A1209"/>
    <mergeCell ref="B1208:B1209"/>
    <mergeCell ref="C1208:C1209"/>
    <mergeCell ref="A1210:A1211"/>
    <mergeCell ref="B1210:B1211"/>
    <mergeCell ref="C1210:C1211"/>
    <mergeCell ref="A1212:A1213"/>
    <mergeCell ref="B1212:B1213"/>
    <mergeCell ref="C1212:C1213"/>
    <mergeCell ref="A1214:A1215"/>
    <mergeCell ref="B1214:B1215"/>
    <mergeCell ref="C1214:C1215"/>
    <mergeCell ref="C1223:C1224"/>
    <mergeCell ref="A1216:A1217"/>
    <mergeCell ref="B1216:B1217"/>
    <mergeCell ref="C1216:C1217"/>
    <mergeCell ref="A1218:A1219"/>
    <mergeCell ref="B1218:B1219"/>
    <mergeCell ref="C1218:C1219"/>
    <mergeCell ref="A1225:A1226"/>
    <mergeCell ref="B1225:B1226"/>
    <mergeCell ref="C1225:C1226"/>
    <mergeCell ref="B1227:B1228"/>
    <mergeCell ref="C1227:C1228"/>
    <mergeCell ref="A1221:A1222"/>
    <mergeCell ref="B1221:B1222"/>
    <mergeCell ref="C1221:C1222"/>
    <mergeCell ref="A1223:A1224"/>
    <mergeCell ref="B1223:B1224"/>
    <mergeCell ref="A1230:A1231"/>
    <mergeCell ref="B1230:B1231"/>
    <mergeCell ref="C1230:C1231"/>
    <mergeCell ref="A1232:A1233"/>
    <mergeCell ref="B1232:B1233"/>
    <mergeCell ref="C1232:C1233"/>
    <mergeCell ref="A1234:A1235"/>
    <mergeCell ref="B1234:B1235"/>
    <mergeCell ref="C1234:C1235"/>
    <mergeCell ref="A1236:A1237"/>
    <mergeCell ref="B1236:B1237"/>
    <mergeCell ref="C1236:C1237"/>
    <mergeCell ref="A1238:A1239"/>
    <mergeCell ref="B1238:B1239"/>
    <mergeCell ref="C1238:C1239"/>
    <mergeCell ref="A1240:A1241"/>
    <mergeCell ref="B1240:B1241"/>
    <mergeCell ref="C1240:C1241"/>
    <mergeCell ref="A1242:A1243"/>
    <mergeCell ref="B1242:B1243"/>
    <mergeCell ref="C1242:C1243"/>
    <mergeCell ref="A1244:A1245"/>
    <mergeCell ref="B1244:B1245"/>
    <mergeCell ref="C1244:C1245"/>
    <mergeCell ref="A1246:A1247"/>
    <mergeCell ref="B1246:B1247"/>
    <mergeCell ref="C1246:C1247"/>
    <mergeCell ref="A1248:A1249"/>
    <mergeCell ref="B1248:B1249"/>
    <mergeCell ref="C1248:C1249"/>
    <mergeCell ref="A1254:A1255"/>
    <mergeCell ref="B1254:B1255"/>
    <mergeCell ref="C1254:C1255"/>
    <mergeCell ref="A1250:A1251"/>
    <mergeCell ref="B1250:B1251"/>
    <mergeCell ref="C1250:C1251"/>
    <mergeCell ref="A1252:A1253"/>
    <mergeCell ref="B1252:B1253"/>
    <mergeCell ref="C1252:C1253"/>
  </mergeCells>
  <printOptions/>
  <pageMargins left="0.42" right="0.2" top="0.63" bottom="0.35" header="0.57" footer="0.2"/>
  <pageSetup fitToHeight="15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User_452d</dc:creator>
  <cp:keywords/>
  <dc:description/>
  <cp:lastModifiedBy>User_452d</cp:lastModifiedBy>
  <dcterms:created xsi:type="dcterms:W3CDTF">2020-03-02T11:57:43Z</dcterms:created>
  <dcterms:modified xsi:type="dcterms:W3CDTF">2020-03-02T11:58:48Z</dcterms:modified>
  <cp:category/>
  <cp:version/>
  <cp:contentType/>
  <cp:contentStatus/>
</cp:coreProperties>
</file>